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harts/chart7.xml" ContentType="application/vnd.openxmlformats-officedocument.drawingml.chart+xml"/>
  <Override PartName="/xl/charts/style1.xml" ContentType="application/vnd.ms-office.chartstyle+xml"/>
  <Override PartName="/xl/charts/colors1.xml" ContentType="application/vnd.ms-office.chartcolorstyle+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harts/chart9.xml" ContentType="application/vnd.openxmlformats-officedocument.drawingml.chart+xml"/>
  <Override PartName="/xl/charts/style3.xml" ContentType="application/vnd.ms-office.chartstyle+xml"/>
  <Override PartName="/xl/charts/colors3.xml" ContentType="application/vnd.ms-office.chartcolorstyle+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Users\Bajs.Rastislav\Documents\ZSSK\2024\ŠU\SpDD\"/>
    </mc:Choice>
  </mc:AlternateContent>
  <xr:revisionPtr revIDLastSave="0" documentId="13_ncr:1_{F347A13A-19AC-40C7-967F-EC29B6E5668D}" xr6:coauthVersionLast="47" xr6:coauthVersionMax="47" xr10:uidLastSave="{00000000-0000-0000-0000-000000000000}"/>
  <bookViews>
    <workbookView xWindow="-120" yWindow="-120" windowWidth="29040" windowHeight="15720" tabRatio="927" firstSheet="2" activeTab="2" xr2:uid="{00000000-000D-0000-FFFF-FFFF00000000}"/>
  </bookViews>
  <sheets>
    <sheet name="Cenová inflácia" sheetId="65" state="hidden" r:id="rId1"/>
    <sheet name="Hrubý domáci produkt" sheetId="64" state="hidden" r:id="rId2"/>
    <sheet name="Parametre" sheetId="1" r:id="rId3"/>
    <sheet name="Nákup =&gt;" sheetId="46" r:id="rId4"/>
    <sheet name="01 Investičné výdavky - nákup" sheetId="2" r:id="rId5"/>
    <sheet name="02 Zostatková hodnota - nákup" sheetId="32" r:id="rId6"/>
    <sheet name="03 Prevádzkové výdavky nákup" sheetId="58" r:id="rId7"/>
    <sheet name="03A PV nákup bez proj. pomocne" sheetId="59" r:id="rId8"/>
    <sheet name="03B PV nákup s proj. pomocné " sheetId="60" r:id="rId9"/>
    <sheet name="04 Prevádzkové príjmy - nákup" sheetId="34" r:id="rId10"/>
    <sheet name="05 Financovanie - nákup" sheetId="35" r:id="rId11"/>
    <sheet name="06 Finančná analýza - nákup" sheetId="36" r:id="rId12"/>
    <sheet name="Úspora času cestujúci - nákup" sheetId="42" r:id="rId13"/>
    <sheet name="07 Čas cestujúcich - nákup" sheetId="10" r:id="rId14"/>
    <sheet name="Úspora času prípr. vlak - nákup" sheetId="44" r:id="rId15"/>
    <sheet name="08 Čas prípravy vlaku - nákup" sheetId="18" r:id="rId16"/>
    <sheet name="09 Ekonomická analýza - nákup" sheetId="19" r:id="rId17"/>
    <sheet name="Analýza citl. FNPV_C - nákup " sheetId="66" r:id="rId18"/>
    <sheet name="Analýza citl.  ENPV - nákup" sheetId="67" r:id="rId19"/>
    <sheet name="Analýza scenárov - nákup" sheetId="68" r:id="rId20"/>
    <sheet name="Kvalitatívna analýza - nákup" sheetId="69" r:id="rId21"/>
    <sheet name="Pravdep. analýza FNPV_C - nákup" sheetId="70" r:id="rId22"/>
    <sheet name="Pravdepod. analýza ENPV - nákup" sheetId="71" r:id="rId23"/>
    <sheet name="Nájom =&gt;" sheetId="45" r:id="rId24"/>
    <sheet name="01 Investičné výdavky - nájom" sheetId="31" r:id="rId25"/>
    <sheet name="02 Zostatková hodnota - nájom" sheetId="9" r:id="rId26"/>
    <sheet name="03 Prevádzkové výdavky prenájom" sheetId="61" r:id="rId27"/>
    <sheet name="03A PV nájom bez proj. pomocné" sheetId="62" r:id="rId28"/>
    <sheet name="03B PV nájom s proj. pomocné" sheetId="63" r:id="rId29"/>
    <sheet name="04 Prevádzkové príjmy - nájom" sheetId="4" r:id="rId30"/>
    <sheet name="05 Financovanie - nájom" sheetId="7" r:id="rId31"/>
    <sheet name="06 Finančná analýza - nájom" sheetId="6" r:id="rId32"/>
    <sheet name="Úspora času cestujúci - nájom" sheetId="48" r:id="rId33"/>
    <sheet name="07 Čas cestujúcich - nájom" sheetId="49" r:id="rId34"/>
    <sheet name="Úspora času prípr. vlak - nájom" sheetId="50" r:id="rId35"/>
    <sheet name="08 Čas prípravy vlaku - nájom" sheetId="51" r:id="rId36"/>
    <sheet name="09 Ekonomická analýza - nájom" sheetId="52" r:id="rId37"/>
  </sheets>
  <definedNames>
    <definedName name="_ftn1" localSheetId="24">'01 Investičné výdavky - nájom'!#REF!</definedName>
    <definedName name="_ftn1" localSheetId="4">'01 Investičné výdavky - nákup'!#REF!</definedName>
    <definedName name="_ftn1" localSheetId="25">'02 Zostatková hodnota - nájom'!#REF!</definedName>
    <definedName name="_ftn1" localSheetId="5">'02 Zostatková hodnota - nákup'!#REF!</definedName>
    <definedName name="_ftnref1" localSheetId="24">'01 Investičné výdavky - nájom'!#REF!</definedName>
    <definedName name="_ftnref1" localSheetId="4">'01 Investičné výdavky - nákup'!#REF!</definedName>
    <definedName name="_ftnref1" localSheetId="25">'02 Zostatková hodnota - nájom'!#REF!</definedName>
    <definedName name="_ftnref1" localSheetId="5">'02 Zostatková hodnota - nákup'!#REF!</definedName>
    <definedName name="RParticipants" localSheetId="34">#REF!:INDEX(#REF!,COUNTIF(#REF!,"?*"))</definedName>
    <definedName name="RParticipants" localSheetId="14">#REF!:INDEX(#REF!,COUNTIF(#REF!,"?*"))</definedName>
    <definedName name="RParticipants">#REF!:INDEX(#REF!,COUNTIF(#REF!,"?*"))</definedName>
    <definedName name="RWorkPackages" localSheetId="34">#REF!:INDEX(#REF!,COUNTIF(#REF!,"?*"))</definedName>
    <definedName name="RWorkPackages" localSheetId="14">#REF!:INDEX(#REF!,COUNTIF(#REF!,"?*"))</definedName>
    <definedName name="RWorkPackages">#REF!:INDEX(#REF!,COUNTIF(#REF!,"?*"))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68" l="1"/>
  <c r="F31" i="68"/>
  <c r="D32" i="68"/>
  <c r="E32" i="68"/>
  <c r="F32" i="68"/>
  <c r="D33" i="68"/>
  <c r="E33" i="68"/>
  <c r="F33" i="68"/>
  <c r="D34" i="68"/>
  <c r="E34" i="68"/>
  <c r="F34" i="68"/>
  <c r="C13" i="7"/>
  <c r="AG18" i="6"/>
  <c r="C18" i="36"/>
  <c r="B34" i="32"/>
  <c r="B35" i="32"/>
  <c r="B36" i="32"/>
  <c r="B33" i="32"/>
  <c r="D25" i="71"/>
  <c r="D26" i="71" s="1"/>
  <c r="D25" i="70"/>
  <c r="D26" i="70" s="1"/>
  <c r="C198" i="67"/>
  <c r="C195" i="67"/>
  <c r="C196" i="67"/>
  <c r="C197" i="67"/>
  <c r="C194" i="67"/>
  <c r="C193" i="67"/>
  <c r="B149" i="67"/>
  <c r="B146" i="67"/>
  <c r="B147" i="67"/>
  <c r="B148" i="67"/>
  <c r="B145" i="67"/>
  <c r="B144" i="67"/>
  <c r="B137" i="67"/>
  <c r="B134" i="67"/>
  <c r="B135" i="67"/>
  <c r="B136" i="67"/>
  <c r="B133" i="67"/>
  <c r="B132" i="67"/>
  <c r="B91" i="67"/>
  <c r="B88" i="67"/>
  <c r="B89" i="67"/>
  <c r="B90" i="67"/>
  <c r="B87" i="67"/>
  <c r="B86" i="67"/>
  <c r="B28" i="67"/>
  <c r="B25" i="67"/>
  <c r="B26" i="67"/>
  <c r="B27" i="67"/>
  <c r="B24" i="67"/>
  <c r="B23" i="67"/>
  <c r="B79" i="67"/>
  <c r="B76" i="67"/>
  <c r="B77" i="67"/>
  <c r="B78" i="67"/>
  <c r="B75" i="67"/>
  <c r="B74" i="67"/>
  <c r="O46" i="68" l="1"/>
  <c r="N46" i="68"/>
  <c r="M46" i="68"/>
  <c r="M45" i="68"/>
  <c r="O44" i="68"/>
  <c r="N44" i="68"/>
  <c r="M44" i="68"/>
  <c r="O43" i="68"/>
  <c r="N43" i="68"/>
  <c r="E143" i="67"/>
  <c r="C143" i="67"/>
  <c r="E85" i="67"/>
  <c r="C85" i="67"/>
  <c r="E22" i="67"/>
  <c r="C22" i="67"/>
  <c r="C167" i="66"/>
  <c r="C166" i="66"/>
  <c r="C165" i="66"/>
  <c r="C164" i="66"/>
  <c r="B125" i="66"/>
  <c r="B124" i="66"/>
  <c r="B123" i="66"/>
  <c r="B122" i="66"/>
  <c r="E121" i="66"/>
  <c r="C121" i="66"/>
  <c r="B115" i="66"/>
  <c r="B114" i="66"/>
  <c r="B113" i="66"/>
  <c r="B112" i="66"/>
  <c r="B75" i="66"/>
  <c r="B74" i="66"/>
  <c r="B73" i="66"/>
  <c r="B72" i="66"/>
  <c r="E71" i="66"/>
  <c r="C71" i="66"/>
  <c r="B65" i="66"/>
  <c r="B64" i="66"/>
  <c r="B63" i="66"/>
  <c r="B62" i="66"/>
  <c r="B24" i="66"/>
  <c r="B23" i="66"/>
  <c r="B22" i="66"/>
  <c r="B21" i="66"/>
  <c r="E20" i="66"/>
  <c r="C20" i="66"/>
  <c r="D21" i="1" l="1"/>
  <c r="E21" i="1"/>
  <c r="F21" i="1"/>
  <c r="G21" i="1"/>
  <c r="H21" i="1"/>
  <c r="I21" i="1"/>
  <c r="J21" i="1"/>
  <c r="K21" i="1"/>
  <c r="L21" i="1"/>
  <c r="M21" i="1"/>
  <c r="N21" i="1"/>
  <c r="O21" i="1"/>
  <c r="P21" i="1"/>
  <c r="C21" i="1"/>
  <c r="I42" i="1"/>
  <c r="E42" i="1"/>
  <c r="F42" i="1"/>
  <c r="G42" i="1"/>
  <c r="H42" i="1"/>
  <c r="D42" i="1"/>
  <c r="F18" i="7" l="1"/>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AJ18" i="7"/>
  <c r="AK18" i="7"/>
  <c r="AL18" i="7"/>
  <c r="AM18" i="7"/>
  <c r="AN18" i="7"/>
  <c r="AO18" i="7"/>
  <c r="AP18" i="7"/>
  <c r="AQ18" i="7"/>
  <c r="E18" i="7"/>
  <c r="N17" i="35"/>
  <c r="X17" i="35"/>
  <c r="AA17" i="35"/>
  <c r="AF17" i="35"/>
  <c r="D17" i="35"/>
  <c r="L17" i="35" s="1"/>
  <c r="P17" i="35" l="1"/>
  <c r="J17" i="35"/>
  <c r="H17" i="35"/>
  <c r="S17" i="35"/>
  <c r="K17" i="35"/>
  <c r="E17" i="35"/>
  <c r="Z17" i="35"/>
  <c r="R17" i="35"/>
  <c r="AG17" i="35"/>
  <c r="Y17" i="35"/>
  <c r="Q17" i="35"/>
  <c r="I17" i="35"/>
  <c r="AE17" i="35"/>
  <c r="W17" i="35"/>
  <c r="O17" i="35"/>
  <c r="G17" i="35"/>
  <c r="AD17" i="35"/>
  <c r="V17" i="35"/>
  <c r="F17" i="35"/>
  <c r="AC17" i="35"/>
  <c r="U17" i="35"/>
  <c r="M17" i="35"/>
  <c r="AB17" i="35"/>
  <c r="T17" i="35"/>
  <c r="E19" i="35"/>
  <c r="F19" i="35"/>
  <c r="G19" i="35"/>
  <c r="H19" i="35"/>
  <c r="I19" i="35"/>
  <c r="J19" i="35"/>
  <c r="K19" i="35"/>
  <c r="L19" i="35"/>
  <c r="M19" i="35"/>
  <c r="N19" i="35"/>
  <c r="O19" i="35"/>
  <c r="P19" i="35"/>
  <c r="Q19" i="35"/>
  <c r="R19" i="35"/>
  <c r="S19" i="35"/>
  <c r="T19" i="35"/>
  <c r="U19" i="35"/>
  <c r="V19" i="35"/>
  <c r="W19" i="35"/>
  <c r="X19" i="35"/>
  <c r="Y19" i="35"/>
  <c r="Z19" i="35"/>
  <c r="AA19" i="35"/>
  <c r="AB19" i="35"/>
  <c r="AC19" i="35"/>
  <c r="AD19" i="35"/>
  <c r="AE19" i="35"/>
  <c r="AF19" i="35"/>
  <c r="AG19" i="35"/>
  <c r="D19" i="35"/>
  <c r="C93" i="63"/>
  <c r="AG91" i="63"/>
  <c r="AF91" i="63"/>
  <c r="AE91" i="63"/>
  <c r="AD91" i="63"/>
  <c r="AC91" i="63"/>
  <c r="AB91" i="63"/>
  <c r="AA91" i="63"/>
  <c r="Z91" i="63"/>
  <c r="Y91" i="63"/>
  <c r="X91" i="63"/>
  <c r="W91" i="63"/>
  <c r="V91" i="63"/>
  <c r="U91" i="63"/>
  <c r="T91" i="63"/>
  <c r="S91" i="63"/>
  <c r="R91" i="63"/>
  <c r="Q91" i="63"/>
  <c r="P91" i="63"/>
  <c r="O91" i="63"/>
  <c r="N91" i="63"/>
  <c r="M91" i="63"/>
  <c r="L91" i="63"/>
  <c r="K91" i="63"/>
  <c r="J91" i="63"/>
  <c r="I91" i="63"/>
  <c r="H91" i="63"/>
  <c r="G91" i="63"/>
  <c r="F91" i="63"/>
  <c r="E91" i="63"/>
  <c r="AH86" i="63"/>
  <c r="AD86" i="63"/>
  <c r="N86" i="63"/>
  <c r="F86" i="63"/>
  <c r="AK86" i="63" s="1"/>
  <c r="C75" i="63"/>
  <c r="I73" i="63"/>
  <c r="J73" i="63" s="1"/>
  <c r="K73" i="63" s="1"/>
  <c r="L73" i="63" s="1"/>
  <c r="M73" i="63" s="1"/>
  <c r="N73" i="63" s="1"/>
  <c r="O73" i="63" s="1"/>
  <c r="P73" i="63" s="1"/>
  <c r="Q73" i="63" s="1"/>
  <c r="R73" i="63" s="1"/>
  <c r="S73" i="63" s="1"/>
  <c r="T73" i="63" s="1"/>
  <c r="U73" i="63" s="1"/>
  <c r="V73" i="63" s="1"/>
  <c r="W73" i="63" s="1"/>
  <c r="X73" i="63" s="1"/>
  <c r="Y73" i="63" s="1"/>
  <c r="Z73" i="63" s="1"/>
  <c r="AA73" i="63" s="1"/>
  <c r="AB73" i="63" s="1"/>
  <c r="AC73" i="63" s="1"/>
  <c r="AD73" i="63" s="1"/>
  <c r="AE73" i="63" s="1"/>
  <c r="AF73" i="63" s="1"/>
  <c r="AG73" i="63" s="1"/>
  <c r="AH73" i="63" s="1"/>
  <c r="AI73" i="63" s="1"/>
  <c r="AJ73" i="63" s="1"/>
  <c r="AK73" i="63" s="1"/>
  <c r="E69" i="63"/>
  <c r="F69" i="63" s="1"/>
  <c r="E67" i="63"/>
  <c r="F67" i="63" s="1"/>
  <c r="L67" i="63" s="1"/>
  <c r="E66" i="63"/>
  <c r="F66" i="63" s="1"/>
  <c r="E65" i="63"/>
  <c r="F65" i="63" s="1"/>
  <c r="E62" i="63"/>
  <c r="F62" i="63" s="1"/>
  <c r="E60" i="63"/>
  <c r="F60" i="63" s="1"/>
  <c r="C59" i="63"/>
  <c r="I57" i="63"/>
  <c r="J57" i="63" s="1"/>
  <c r="K57" i="63" s="1"/>
  <c r="L57" i="63" s="1"/>
  <c r="F54" i="63"/>
  <c r="AJ54" i="63" s="1"/>
  <c r="C43" i="63"/>
  <c r="I41" i="63"/>
  <c r="J41" i="63" s="1"/>
  <c r="K41" i="63" s="1"/>
  <c r="L41" i="63" s="1"/>
  <c r="M41" i="63" s="1"/>
  <c r="N41" i="63" s="1"/>
  <c r="O41" i="63" s="1"/>
  <c r="P41" i="63" s="1"/>
  <c r="Q41" i="63" s="1"/>
  <c r="R41" i="63" s="1"/>
  <c r="S41" i="63" s="1"/>
  <c r="T41" i="63" s="1"/>
  <c r="U41" i="63" s="1"/>
  <c r="V41" i="63" s="1"/>
  <c r="W41" i="63" s="1"/>
  <c r="X41" i="63" s="1"/>
  <c r="Y41" i="63" s="1"/>
  <c r="Z41" i="63" s="1"/>
  <c r="AA41" i="63" s="1"/>
  <c r="AB41" i="63" s="1"/>
  <c r="AC41" i="63" s="1"/>
  <c r="AD41" i="63" s="1"/>
  <c r="AE41" i="63" s="1"/>
  <c r="AF41" i="63" s="1"/>
  <c r="AG41" i="63" s="1"/>
  <c r="AH41" i="63" s="1"/>
  <c r="AI41" i="63" s="1"/>
  <c r="AJ41" i="63" s="1"/>
  <c r="AK41" i="63" s="1"/>
  <c r="F38" i="63"/>
  <c r="L38" i="63" s="1"/>
  <c r="F36" i="63"/>
  <c r="F35" i="63"/>
  <c r="L35" i="63" s="1"/>
  <c r="F34" i="63"/>
  <c r="J32" i="63"/>
  <c r="F32" i="63"/>
  <c r="L32" i="63" s="1"/>
  <c r="K30" i="63"/>
  <c r="F30" i="63"/>
  <c r="C27" i="63"/>
  <c r="I25" i="63"/>
  <c r="J25" i="63" s="1"/>
  <c r="K25" i="63" s="1"/>
  <c r="L25" i="63" s="1"/>
  <c r="E21" i="63"/>
  <c r="F21" i="63" s="1"/>
  <c r="F19" i="63"/>
  <c r="E19" i="63"/>
  <c r="E18" i="63"/>
  <c r="F18" i="63" s="1"/>
  <c r="F17" i="63"/>
  <c r="K17" i="63" s="1"/>
  <c r="E17" i="63"/>
  <c r="E16" i="63"/>
  <c r="F16" i="63" s="1"/>
  <c r="E14" i="63"/>
  <c r="F14" i="63" s="1"/>
  <c r="I12" i="63"/>
  <c r="E12" i="63"/>
  <c r="F12" i="63" s="1"/>
  <c r="C11" i="63"/>
  <c r="I9" i="63"/>
  <c r="J9" i="63" s="1"/>
  <c r="K9" i="63" s="1"/>
  <c r="C62" i="62"/>
  <c r="AG60" i="62"/>
  <c r="AF60" i="62"/>
  <c r="AE60" i="62"/>
  <c r="AD60" i="62"/>
  <c r="AC60" i="62"/>
  <c r="AB60" i="62"/>
  <c r="AA60" i="62"/>
  <c r="Z60" i="62"/>
  <c r="Y60" i="62"/>
  <c r="X60" i="62"/>
  <c r="W60" i="62"/>
  <c r="V60" i="62"/>
  <c r="U60" i="62"/>
  <c r="T60" i="62"/>
  <c r="S60" i="62"/>
  <c r="R60" i="62"/>
  <c r="Q60" i="62"/>
  <c r="P60" i="62"/>
  <c r="O60" i="62"/>
  <c r="N60" i="62"/>
  <c r="M60" i="62"/>
  <c r="L60" i="62"/>
  <c r="K60" i="62"/>
  <c r="J60" i="62"/>
  <c r="I60" i="62"/>
  <c r="H60" i="62"/>
  <c r="G60" i="62"/>
  <c r="F60" i="62"/>
  <c r="E60" i="62"/>
  <c r="P54" i="62"/>
  <c r="E54" i="62"/>
  <c r="F54" i="62" s="1"/>
  <c r="AF54" i="62" s="1"/>
  <c r="E52" i="62"/>
  <c r="F52" i="62" s="1"/>
  <c r="AF52" i="62" s="1"/>
  <c r="AF51" i="62"/>
  <c r="E51" i="62"/>
  <c r="F51" i="62" s="1"/>
  <c r="P51" i="62" s="1"/>
  <c r="E50" i="62"/>
  <c r="F50" i="62" s="1"/>
  <c r="X47" i="62"/>
  <c r="P47" i="62"/>
  <c r="L47" i="62"/>
  <c r="H47" i="62"/>
  <c r="E47" i="62"/>
  <c r="F47" i="62" s="1"/>
  <c r="AF47" i="62" s="1"/>
  <c r="E45" i="62"/>
  <c r="F45" i="62" s="1"/>
  <c r="AF45" i="62" s="1"/>
  <c r="C44" i="62"/>
  <c r="I42" i="62"/>
  <c r="J42" i="62" s="1"/>
  <c r="K42" i="62" s="1"/>
  <c r="L42" i="62" s="1"/>
  <c r="M42" i="62" s="1"/>
  <c r="N42" i="62" s="1"/>
  <c r="O42" i="62" s="1"/>
  <c r="P42" i="62" s="1"/>
  <c r="Q42" i="62" s="1"/>
  <c r="R42" i="62" s="1"/>
  <c r="S42" i="62" s="1"/>
  <c r="T42" i="62" s="1"/>
  <c r="U42" i="62" s="1"/>
  <c r="V42" i="62" s="1"/>
  <c r="W42" i="62" s="1"/>
  <c r="X42" i="62" s="1"/>
  <c r="Y42" i="62" s="1"/>
  <c r="Z42" i="62" s="1"/>
  <c r="AA42" i="62" s="1"/>
  <c r="AB42" i="62" s="1"/>
  <c r="AC42" i="62" s="1"/>
  <c r="AD42" i="62" s="1"/>
  <c r="AE42" i="62" s="1"/>
  <c r="AF42" i="62" s="1"/>
  <c r="AG42" i="62" s="1"/>
  <c r="AH42" i="62" s="1"/>
  <c r="AI42" i="62" s="1"/>
  <c r="AJ42" i="62" s="1"/>
  <c r="AK42" i="62" s="1"/>
  <c r="F39" i="62"/>
  <c r="AK39" i="62" s="1"/>
  <c r="Y37" i="62"/>
  <c r="U37" i="62"/>
  <c r="I37" i="62"/>
  <c r="F37" i="62"/>
  <c r="AJ37" i="62" s="1"/>
  <c r="F36" i="62"/>
  <c r="AI36" i="62" s="1"/>
  <c r="AE35" i="62"/>
  <c r="AA35" i="62"/>
  <c r="O35" i="62"/>
  <c r="F35" i="62"/>
  <c r="AI35" i="62" s="1"/>
  <c r="AH33" i="62"/>
  <c r="AD33" i="62"/>
  <c r="V33" i="62"/>
  <c r="R33" i="62"/>
  <c r="N33" i="62"/>
  <c r="F33" i="62"/>
  <c r="AK33" i="62" s="1"/>
  <c r="AC31" i="62"/>
  <c r="U31" i="62"/>
  <c r="F31" i="62"/>
  <c r="AJ31" i="62" s="1"/>
  <c r="C28" i="62"/>
  <c r="I26" i="62"/>
  <c r="J26" i="62" s="1"/>
  <c r="K26" i="62" s="1"/>
  <c r="L26" i="62" s="1"/>
  <c r="M26" i="62" s="1"/>
  <c r="N26" i="62" s="1"/>
  <c r="O26" i="62" s="1"/>
  <c r="P26" i="62" s="1"/>
  <c r="Q26" i="62" s="1"/>
  <c r="R26" i="62" s="1"/>
  <c r="S26" i="62" s="1"/>
  <c r="T26" i="62" s="1"/>
  <c r="U26" i="62" s="1"/>
  <c r="V26" i="62" s="1"/>
  <c r="W26" i="62" s="1"/>
  <c r="X26" i="62" s="1"/>
  <c r="Y26" i="62" s="1"/>
  <c r="Z26" i="62" s="1"/>
  <c r="AA26" i="62" s="1"/>
  <c r="AB26" i="62" s="1"/>
  <c r="AC26" i="62" s="1"/>
  <c r="AD26" i="62" s="1"/>
  <c r="AE26" i="62" s="1"/>
  <c r="AF26" i="62" s="1"/>
  <c r="AG26" i="62" s="1"/>
  <c r="AH26" i="62" s="1"/>
  <c r="AI26" i="62" s="1"/>
  <c r="AJ26" i="62" s="1"/>
  <c r="AK26" i="62" s="1"/>
  <c r="AH22" i="62"/>
  <c r="E22" i="62"/>
  <c r="F22" i="62" s="1"/>
  <c r="R22" i="62" s="1"/>
  <c r="E20" i="62"/>
  <c r="F20" i="62" s="1"/>
  <c r="W20" i="62" s="1"/>
  <c r="E19" i="62"/>
  <c r="F19" i="62" s="1"/>
  <c r="E18" i="62"/>
  <c r="F18" i="62" s="1"/>
  <c r="E15" i="62"/>
  <c r="F15" i="62" s="1"/>
  <c r="E13" i="62"/>
  <c r="F13" i="62" s="1"/>
  <c r="C12" i="62"/>
  <c r="E17" i="62" s="1"/>
  <c r="F17" i="62" s="1"/>
  <c r="I10" i="62"/>
  <c r="J10" i="62" s="1"/>
  <c r="K10" i="62" s="1"/>
  <c r="L10" i="62" s="1"/>
  <c r="M10" i="62" s="1"/>
  <c r="N10" i="62" s="1"/>
  <c r="O10" i="62" s="1"/>
  <c r="P10" i="62" s="1"/>
  <c r="Q10" i="62" s="1"/>
  <c r="R10" i="62" s="1"/>
  <c r="S10" i="62" s="1"/>
  <c r="T10" i="62" s="1"/>
  <c r="U10" i="62" s="1"/>
  <c r="V10" i="62" s="1"/>
  <c r="W10" i="62" s="1"/>
  <c r="X10" i="62" s="1"/>
  <c r="Y10" i="62" s="1"/>
  <c r="Z10" i="62" s="1"/>
  <c r="AA10" i="62" s="1"/>
  <c r="AB10" i="62" s="1"/>
  <c r="AC10" i="62" s="1"/>
  <c r="AD10" i="62" s="1"/>
  <c r="AE10" i="62" s="1"/>
  <c r="AF10" i="62" s="1"/>
  <c r="AG10" i="62" s="1"/>
  <c r="AH10" i="62" s="1"/>
  <c r="AI10" i="62" s="1"/>
  <c r="AJ10" i="62" s="1"/>
  <c r="AK10" i="62" s="1"/>
  <c r="AG17" i="61"/>
  <c r="AF17" i="61"/>
  <c r="AE17" i="61"/>
  <c r="AD17" i="61"/>
  <c r="AD28" i="61" s="1"/>
  <c r="AD39" i="61" s="1"/>
  <c r="AC17" i="61"/>
  <c r="AB17" i="61"/>
  <c r="AA17" i="61"/>
  <c r="Z17" i="61"/>
  <c r="Z28" i="61" s="1"/>
  <c r="Z39" i="61" s="1"/>
  <c r="Y17" i="61"/>
  <c r="X17" i="61"/>
  <c r="W17" i="61"/>
  <c r="V17" i="61"/>
  <c r="V28" i="61" s="1"/>
  <c r="V39" i="61" s="1"/>
  <c r="U17" i="61"/>
  <c r="T17" i="61"/>
  <c r="S17" i="61"/>
  <c r="R17" i="61"/>
  <c r="R28" i="61" s="1"/>
  <c r="R39" i="61" s="1"/>
  <c r="Q17" i="61"/>
  <c r="P17" i="61"/>
  <c r="O17" i="61"/>
  <c r="N17" i="61"/>
  <c r="N28" i="61" s="1"/>
  <c r="N39" i="61" s="1"/>
  <c r="M17" i="61"/>
  <c r="L17" i="61"/>
  <c r="K17" i="61"/>
  <c r="J17" i="61"/>
  <c r="J28" i="61" s="1"/>
  <c r="J39" i="61" s="1"/>
  <c r="I17" i="61"/>
  <c r="H17" i="61"/>
  <c r="G17" i="61"/>
  <c r="F17" i="61"/>
  <c r="F28" i="61" s="1"/>
  <c r="F39" i="61" s="1"/>
  <c r="E17" i="61"/>
  <c r="D17" i="61"/>
  <c r="AG15" i="61"/>
  <c r="Y15" i="61"/>
  <c r="U15" i="61"/>
  <c r="Q15" i="61"/>
  <c r="AG6" i="61"/>
  <c r="AF6" i="61"/>
  <c r="AE6" i="61"/>
  <c r="AD6" i="61"/>
  <c r="AC6" i="61"/>
  <c r="AB6" i="61"/>
  <c r="AA6" i="61"/>
  <c r="Z6" i="61"/>
  <c r="Y6" i="61"/>
  <c r="X6" i="61"/>
  <c r="W6" i="61"/>
  <c r="V6" i="61"/>
  <c r="U6" i="61"/>
  <c r="T6" i="61"/>
  <c r="S6" i="61"/>
  <c r="R6" i="61"/>
  <c r="Q6" i="61"/>
  <c r="P6" i="61"/>
  <c r="O6" i="61"/>
  <c r="N6" i="61"/>
  <c r="M6" i="61"/>
  <c r="L6" i="61"/>
  <c r="K6" i="61"/>
  <c r="J6" i="61"/>
  <c r="I6" i="61"/>
  <c r="H6" i="61"/>
  <c r="G6" i="61"/>
  <c r="F6" i="61"/>
  <c r="E6" i="61"/>
  <c r="D6" i="61"/>
  <c r="AC4" i="61"/>
  <c r="AC37" i="61" s="1"/>
  <c r="U4" i="61"/>
  <c r="U37" i="61" s="1"/>
  <c r="Q4" i="61"/>
  <c r="Q37" i="61" s="1"/>
  <c r="M4" i="61"/>
  <c r="M37" i="61" s="1"/>
  <c r="E4" i="61"/>
  <c r="E37" i="61" s="1"/>
  <c r="D26" i="61"/>
  <c r="C93" i="60"/>
  <c r="AG91" i="60"/>
  <c r="AF91" i="60"/>
  <c r="AE91" i="60"/>
  <c r="AD91" i="60"/>
  <c r="AC91" i="60"/>
  <c r="AB91" i="60"/>
  <c r="AA91" i="60"/>
  <c r="Z91" i="60"/>
  <c r="Y91" i="60"/>
  <c r="X91" i="60"/>
  <c r="W91" i="60"/>
  <c r="V91" i="60"/>
  <c r="U91" i="60"/>
  <c r="T91" i="60"/>
  <c r="S91" i="60"/>
  <c r="R91" i="60"/>
  <c r="Q91" i="60"/>
  <c r="P91" i="60"/>
  <c r="O91" i="60"/>
  <c r="N91" i="60"/>
  <c r="M91" i="60"/>
  <c r="L91" i="60"/>
  <c r="K91" i="60"/>
  <c r="J91" i="60"/>
  <c r="I91" i="60"/>
  <c r="H91" i="60"/>
  <c r="G91" i="60"/>
  <c r="F91" i="60"/>
  <c r="E91" i="60"/>
  <c r="Z86" i="60"/>
  <c r="N86" i="60"/>
  <c r="J86" i="60"/>
  <c r="F86" i="60"/>
  <c r="AK86" i="60" s="1"/>
  <c r="C75" i="60"/>
  <c r="I73" i="60"/>
  <c r="J73" i="60" s="1"/>
  <c r="K73" i="60" s="1"/>
  <c r="L73" i="60" s="1"/>
  <c r="M73" i="60" s="1"/>
  <c r="N73" i="60" s="1"/>
  <c r="O73" i="60" s="1"/>
  <c r="P73" i="60" s="1"/>
  <c r="Q73" i="60" s="1"/>
  <c r="R73" i="60" s="1"/>
  <c r="S73" i="60" s="1"/>
  <c r="T73" i="60" s="1"/>
  <c r="U73" i="60" s="1"/>
  <c r="V73" i="60" s="1"/>
  <c r="W73" i="60" s="1"/>
  <c r="X73" i="60" s="1"/>
  <c r="Y73" i="60" s="1"/>
  <c r="Z73" i="60" s="1"/>
  <c r="AA73" i="60" s="1"/>
  <c r="AB73" i="60" s="1"/>
  <c r="AC73" i="60" s="1"/>
  <c r="AD73" i="60" s="1"/>
  <c r="AE73" i="60" s="1"/>
  <c r="AF73" i="60" s="1"/>
  <c r="AG73" i="60" s="1"/>
  <c r="AH73" i="60" s="1"/>
  <c r="AI73" i="60" s="1"/>
  <c r="AJ73" i="60" s="1"/>
  <c r="AK73" i="60" s="1"/>
  <c r="E69" i="60"/>
  <c r="F69" i="60" s="1"/>
  <c r="F67" i="60"/>
  <c r="K67" i="60" s="1"/>
  <c r="E67" i="60"/>
  <c r="E66" i="60"/>
  <c r="F66" i="60" s="1"/>
  <c r="E65" i="60"/>
  <c r="F65" i="60" s="1"/>
  <c r="L65" i="60" s="1"/>
  <c r="E62" i="60"/>
  <c r="F62" i="60" s="1"/>
  <c r="L62" i="60" s="1"/>
  <c r="F60" i="60"/>
  <c r="E60" i="60"/>
  <c r="C59" i="60"/>
  <c r="I57" i="60"/>
  <c r="J57" i="60" s="1"/>
  <c r="K57" i="60" s="1"/>
  <c r="L57" i="60" s="1"/>
  <c r="AB54" i="60"/>
  <c r="N54" i="60"/>
  <c r="F54" i="60"/>
  <c r="AI54" i="60" s="1"/>
  <c r="E46" i="60"/>
  <c r="F46" i="60" s="1"/>
  <c r="E45" i="60"/>
  <c r="F45" i="60" s="1"/>
  <c r="AE45" i="60" s="1"/>
  <c r="C43" i="60"/>
  <c r="E48" i="60" s="1"/>
  <c r="F48" i="60" s="1"/>
  <c r="I41" i="60"/>
  <c r="J41" i="60" s="1"/>
  <c r="K41" i="60" s="1"/>
  <c r="L41" i="60" s="1"/>
  <c r="M41" i="60" s="1"/>
  <c r="N41" i="60" s="1"/>
  <c r="O41" i="60" s="1"/>
  <c r="P41" i="60" s="1"/>
  <c r="Q41" i="60" s="1"/>
  <c r="R41" i="60" s="1"/>
  <c r="S41" i="60" s="1"/>
  <c r="T41" i="60" s="1"/>
  <c r="U41" i="60" s="1"/>
  <c r="V41" i="60" s="1"/>
  <c r="W41" i="60" s="1"/>
  <c r="X41" i="60" s="1"/>
  <c r="Y41" i="60" s="1"/>
  <c r="Z41" i="60" s="1"/>
  <c r="AA41" i="60" s="1"/>
  <c r="AB41" i="60" s="1"/>
  <c r="AC41" i="60" s="1"/>
  <c r="AD41" i="60" s="1"/>
  <c r="AE41" i="60" s="1"/>
  <c r="AF41" i="60" s="1"/>
  <c r="AG41" i="60" s="1"/>
  <c r="AH41" i="60" s="1"/>
  <c r="AI41" i="60" s="1"/>
  <c r="AJ41" i="60" s="1"/>
  <c r="AK41" i="60" s="1"/>
  <c r="H38" i="60"/>
  <c r="F38" i="60"/>
  <c r="L38" i="60" s="1"/>
  <c r="F36" i="60"/>
  <c r="L36" i="60" s="1"/>
  <c r="F35" i="60"/>
  <c r="F34" i="60"/>
  <c r="L34" i="60" s="1"/>
  <c r="F32" i="60"/>
  <c r="L32" i="60" s="1"/>
  <c r="J30" i="60"/>
  <c r="F30" i="60"/>
  <c r="L30" i="60" s="1"/>
  <c r="C27" i="60"/>
  <c r="I25" i="60"/>
  <c r="J25" i="60" s="1"/>
  <c r="K25" i="60" s="1"/>
  <c r="L25" i="60" s="1"/>
  <c r="E21" i="60"/>
  <c r="F21" i="60" s="1"/>
  <c r="E19" i="60"/>
  <c r="F19" i="60" s="1"/>
  <c r="E18" i="60"/>
  <c r="F18" i="60" s="1"/>
  <c r="E17" i="60"/>
  <c r="F17" i="60" s="1"/>
  <c r="F16" i="60"/>
  <c r="K16" i="60" s="1"/>
  <c r="E16" i="60"/>
  <c r="E14" i="60"/>
  <c r="F14" i="60" s="1"/>
  <c r="J14" i="60" s="1"/>
  <c r="F12" i="60"/>
  <c r="K12" i="60" s="1"/>
  <c r="E12" i="60"/>
  <c r="C11" i="60"/>
  <c r="I9" i="60"/>
  <c r="J9" i="60" s="1"/>
  <c r="K9" i="60" s="1"/>
  <c r="C62" i="59"/>
  <c r="AG60" i="59"/>
  <c r="AF60" i="59"/>
  <c r="AE60" i="59"/>
  <c r="AD60" i="59"/>
  <c r="AC60" i="59"/>
  <c r="AB60" i="59"/>
  <c r="AA60" i="59"/>
  <c r="Z60" i="59"/>
  <c r="Y60" i="59"/>
  <c r="X60" i="59"/>
  <c r="W60" i="59"/>
  <c r="V60" i="59"/>
  <c r="U60" i="59"/>
  <c r="T60" i="59"/>
  <c r="S60" i="59"/>
  <c r="R60" i="59"/>
  <c r="Q60" i="59"/>
  <c r="P60" i="59"/>
  <c r="O60" i="59"/>
  <c r="N60" i="59"/>
  <c r="M60" i="59"/>
  <c r="L60" i="59"/>
  <c r="K60" i="59"/>
  <c r="J60" i="59"/>
  <c r="I60" i="59"/>
  <c r="H60" i="59"/>
  <c r="G60" i="59"/>
  <c r="F60" i="59"/>
  <c r="E60" i="59"/>
  <c r="E54" i="59"/>
  <c r="F54" i="59" s="1"/>
  <c r="AG54" i="59" s="1"/>
  <c r="Q52" i="59"/>
  <c r="M52" i="59"/>
  <c r="E52" i="59"/>
  <c r="F52" i="59" s="1"/>
  <c r="I52" i="59" s="1"/>
  <c r="E51" i="59"/>
  <c r="F51" i="59" s="1"/>
  <c r="U51" i="59" s="1"/>
  <c r="E50" i="59"/>
  <c r="F50" i="59" s="1"/>
  <c r="Y50" i="59" s="1"/>
  <c r="Y47" i="59"/>
  <c r="I47" i="59"/>
  <c r="E47" i="59"/>
  <c r="F47" i="59" s="1"/>
  <c r="AG47" i="59" s="1"/>
  <c r="E45" i="59"/>
  <c r="F45" i="59" s="1"/>
  <c r="Y45" i="59" s="1"/>
  <c r="C44" i="59"/>
  <c r="I42" i="59"/>
  <c r="J42" i="59" s="1"/>
  <c r="K42" i="59" s="1"/>
  <c r="L42" i="59" s="1"/>
  <c r="M42" i="59" s="1"/>
  <c r="N42" i="59" s="1"/>
  <c r="O42" i="59" s="1"/>
  <c r="P42" i="59" s="1"/>
  <c r="Q42" i="59" s="1"/>
  <c r="R42" i="59" s="1"/>
  <c r="S42" i="59" s="1"/>
  <c r="T42" i="59" s="1"/>
  <c r="U42" i="59" s="1"/>
  <c r="V42" i="59" s="1"/>
  <c r="W42" i="59" s="1"/>
  <c r="X42" i="59" s="1"/>
  <c r="Y42" i="59" s="1"/>
  <c r="Z42" i="59" s="1"/>
  <c r="AA42" i="59" s="1"/>
  <c r="AB42" i="59" s="1"/>
  <c r="AC42" i="59" s="1"/>
  <c r="AD42" i="59" s="1"/>
  <c r="AE42" i="59" s="1"/>
  <c r="AF42" i="59" s="1"/>
  <c r="AG42" i="59" s="1"/>
  <c r="AH42" i="59" s="1"/>
  <c r="AI42" i="59" s="1"/>
  <c r="AJ42" i="59" s="1"/>
  <c r="AK42" i="59" s="1"/>
  <c r="F39" i="59"/>
  <c r="W39" i="59" s="1"/>
  <c r="F37" i="59"/>
  <c r="AK37" i="59" s="1"/>
  <c r="AK36" i="59"/>
  <c r="Y36" i="59"/>
  <c r="U36" i="59"/>
  <c r="M36" i="59"/>
  <c r="F36" i="59"/>
  <c r="AJ36" i="59" s="1"/>
  <c r="Y35" i="59"/>
  <c r="I35" i="59"/>
  <c r="F35" i="59"/>
  <c r="AI35" i="59" s="1"/>
  <c r="AF33" i="59"/>
  <c r="AE33" i="59"/>
  <c r="P33" i="59"/>
  <c r="F33" i="59"/>
  <c r="O33" i="59" s="1"/>
  <c r="F31" i="59"/>
  <c r="N31" i="59" s="1"/>
  <c r="C28" i="59"/>
  <c r="I26" i="59"/>
  <c r="J26" i="59" s="1"/>
  <c r="K26" i="59" s="1"/>
  <c r="L26" i="59" s="1"/>
  <c r="M26" i="59" s="1"/>
  <c r="N26" i="59" s="1"/>
  <c r="O26" i="59" s="1"/>
  <c r="P26" i="59" s="1"/>
  <c r="Q26" i="59" s="1"/>
  <c r="R26" i="59" s="1"/>
  <c r="S26" i="59" s="1"/>
  <c r="T26" i="59" s="1"/>
  <c r="U26" i="59" s="1"/>
  <c r="V26" i="59" s="1"/>
  <c r="W26" i="59" s="1"/>
  <c r="X26" i="59" s="1"/>
  <c r="Y26" i="59" s="1"/>
  <c r="Z26" i="59" s="1"/>
  <c r="AA26" i="59" s="1"/>
  <c r="AB26" i="59" s="1"/>
  <c r="AC26" i="59" s="1"/>
  <c r="AD26" i="59" s="1"/>
  <c r="AE26" i="59" s="1"/>
  <c r="AF26" i="59" s="1"/>
  <c r="AG26" i="59" s="1"/>
  <c r="AH26" i="59" s="1"/>
  <c r="AI26" i="59" s="1"/>
  <c r="AJ26" i="59" s="1"/>
  <c r="AK26" i="59" s="1"/>
  <c r="E22" i="59"/>
  <c r="F22" i="59" s="1"/>
  <c r="E20" i="59"/>
  <c r="F20" i="59" s="1"/>
  <c r="E19" i="59"/>
  <c r="F19" i="59" s="1"/>
  <c r="E18" i="59"/>
  <c r="F18" i="59" s="1"/>
  <c r="E15" i="59"/>
  <c r="F15" i="59" s="1"/>
  <c r="AD15" i="59" s="1"/>
  <c r="E13" i="59"/>
  <c r="F13" i="59" s="1"/>
  <c r="AD13" i="59" s="1"/>
  <c r="C12" i="59"/>
  <c r="E17" i="59" s="1"/>
  <c r="F17" i="59" s="1"/>
  <c r="I10" i="59"/>
  <c r="J10" i="59" s="1"/>
  <c r="K10" i="59" s="1"/>
  <c r="L10" i="59" s="1"/>
  <c r="M10" i="59" s="1"/>
  <c r="N10" i="59" s="1"/>
  <c r="O10" i="59" s="1"/>
  <c r="P10" i="59" s="1"/>
  <c r="Q10" i="59" s="1"/>
  <c r="R10" i="59" s="1"/>
  <c r="S10" i="59" s="1"/>
  <c r="T10" i="59" s="1"/>
  <c r="U10" i="59" s="1"/>
  <c r="V10" i="59" s="1"/>
  <c r="W10" i="59" s="1"/>
  <c r="X10" i="59" s="1"/>
  <c r="Y10" i="59" s="1"/>
  <c r="Z10" i="59" s="1"/>
  <c r="AA10" i="59" s="1"/>
  <c r="AB10" i="59" s="1"/>
  <c r="AC10" i="59" s="1"/>
  <c r="AD10" i="59" s="1"/>
  <c r="AE10" i="59" s="1"/>
  <c r="AF10" i="59" s="1"/>
  <c r="AG10" i="59" s="1"/>
  <c r="AH10" i="59" s="1"/>
  <c r="AI10" i="59" s="1"/>
  <c r="AJ10" i="59" s="1"/>
  <c r="AK10" i="59" s="1"/>
  <c r="AG17" i="58"/>
  <c r="AF17" i="58"/>
  <c r="AE17" i="58"/>
  <c r="AE28" i="58" s="1"/>
  <c r="AE39" i="58" s="1"/>
  <c r="AD17" i="58"/>
  <c r="AD28" i="58" s="1"/>
  <c r="AD39" i="58" s="1"/>
  <c r="AC17" i="58"/>
  <c r="AB17" i="58"/>
  <c r="AA17" i="58"/>
  <c r="Z17" i="58"/>
  <c r="Y17" i="58"/>
  <c r="X17" i="58"/>
  <c r="W17" i="58"/>
  <c r="W28" i="58" s="1"/>
  <c r="W39" i="58" s="1"/>
  <c r="V17" i="58"/>
  <c r="V28" i="58" s="1"/>
  <c r="V39" i="58" s="1"/>
  <c r="U17" i="58"/>
  <c r="T17" i="58"/>
  <c r="S17" i="58"/>
  <c r="R17" i="58"/>
  <c r="Q17" i="58"/>
  <c r="P17" i="58"/>
  <c r="O17" i="58"/>
  <c r="N17" i="58"/>
  <c r="M17" i="58"/>
  <c r="L17" i="58"/>
  <c r="K17" i="58"/>
  <c r="J17" i="58"/>
  <c r="I17" i="58"/>
  <c r="H17" i="58"/>
  <c r="G17" i="58"/>
  <c r="F17" i="58"/>
  <c r="F28" i="58" s="1"/>
  <c r="F39" i="58" s="1"/>
  <c r="E17" i="58"/>
  <c r="D17" i="58"/>
  <c r="V15" i="58"/>
  <c r="J15" i="58"/>
  <c r="AG6" i="58"/>
  <c r="AF6" i="58"/>
  <c r="AE6" i="58"/>
  <c r="AD6" i="58"/>
  <c r="AC6" i="58"/>
  <c r="AB6" i="58"/>
  <c r="AA6" i="58"/>
  <c r="AA28" i="58" s="1"/>
  <c r="AA39" i="58" s="1"/>
  <c r="Z6" i="58"/>
  <c r="Y6" i="58"/>
  <c r="X6" i="58"/>
  <c r="W6" i="58"/>
  <c r="V6" i="58"/>
  <c r="U6" i="58"/>
  <c r="T6" i="58"/>
  <c r="S6" i="58"/>
  <c r="R6" i="58"/>
  <c r="Q6" i="58"/>
  <c r="P6" i="58"/>
  <c r="O6" i="58"/>
  <c r="N6" i="58"/>
  <c r="M6" i="58"/>
  <c r="L6" i="58"/>
  <c r="K6" i="58"/>
  <c r="K28" i="58" s="1"/>
  <c r="K39" i="58" s="1"/>
  <c r="J6" i="58"/>
  <c r="I6" i="58"/>
  <c r="H6" i="58"/>
  <c r="G6" i="58"/>
  <c r="F6" i="58"/>
  <c r="E6" i="58"/>
  <c r="D6" i="58"/>
  <c r="AG4" i="58"/>
  <c r="AG37" i="58" s="1"/>
  <c r="F15" i="58"/>
  <c r="D28" i="58" l="1"/>
  <c r="D39" i="58" s="1"/>
  <c r="L28" i="58"/>
  <c r="L39" i="58" s="1"/>
  <c r="T28" i="58"/>
  <c r="T39" i="58" s="1"/>
  <c r="I36" i="59"/>
  <c r="R37" i="59"/>
  <c r="AG51" i="59"/>
  <c r="T54" i="60"/>
  <c r="R86" i="60"/>
  <c r="C17" i="61"/>
  <c r="J33" i="62"/>
  <c r="K35" i="62"/>
  <c r="Q37" i="62"/>
  <c r="AB54" i="62"/>
  <c r="I32" i="63"/>
  <c r="J38" i="63"/>
  <c r="N28" i="58"/>
  <c r="N39" i="58" s="1"/>
  <c r="AE31" i="59"/>
  <c r="AH37" i="59"/>
  <c r="Z54" i="60"/>
  <c r="O31" i="59"/>
  <c r="S39" i="59"/>
  <c r="V31" i="59"/>
  <c r="AC36" i="59"/>
  <c r="AI39" i="59"/>
  <c r="U50" i="59"/>
  <c r="Y52" i="59"/>
  <c r="J36" i="60"/>
  <c r="J54" i="60"/>
  <c r="AF54" i="60"/>
  <c r="Z33" i="62"/>
  <c r="N39" i="62"/>
  <c r="H54" i="62"/>
  <c r="I35" i="63"/>
  <c r="U54" i="63"/>
  <c r="H67" i="63"/>
  <c r="G28" i="58"/>
  <c r="G39" i="58" s="1"/>
  <c r="O28" i="58"/>
  <c r="O39" i="58" s="1"/>
  <c r="I36" i="60"/>
  <c r="AD54" i="60"/>
  <c r="I28" i="58"/>
  <c r="I39" i="58" s="1"/>
  <c r="Q28" i="58"/>
  <c r="Q39" i="58" s="1"/>
  <c r="Y28" i="58"/>
  <c r="Y39" i="58" s="1"/>
  <c r="AG28" i="58"/>
  <c r="AG39" i="58" s="1"/>
  <c r="AD31" i="59"/>
  <c r="AC52" i="59"/>
  <c r="L54" i="60"/>
  <c r="AJ54" i="60"/>
  <c r="AB47" i="62"/>
  <c r="L54" i="62"/>
  <c r="Q26" i="61"/>
  <c r="J37" i="59"/>
  <c r="Q51" i="59"/>
  <c r="AC54" i="59"/>
  <c r="P54" i="60"/>
  <c r="C6" i="61"/>
  <c r="M37" i="62"/>
  <c r="X54" i="62"/>
  <c r="I38" i="63"/>
  <c r="Y4" i="58"/>
  <c r="R19" i="62"/>
  <c r="W19" i="62"/>
  <c r="AE48" i="60"/>
  <c r="W48" i="60"/>
  <c r="O48" i="60"/>
  <c r="M28" i="58"/>
  <c r="M39" i="58" s="1"/>
  <c r="AC28" i="58"/>
  <c r="AC39" i="58" s="1"/>
  <c r="W46" i="60"/>
  <c r="AE46" i="60"/>
  <c r="AI13" i="62"/>
  <c r="X13" i="62"/>
  <c r="H13" i="62"/>
  <c r="T13" i="62"/>
  <c r="P13" i="62"/>
  <c r="AK13" i="62"/>
  <c r="U13" i="62"/>
  <c r="AJ13" i="62"/>
  <c r="AF13" i="62"/>
  <c r="AG13" i="62"/>
  <c r="Q13" i="62"/>
  <c r="AC13" i="62"/>
  <c r="M13" i="62"/>
  <c r="AB13" i="62"/>
  <c r="L13" i="62"/>
  <c r="Y13" i="62"/>
  <c r="I13" i="62"/>
  <c r="D37" i="58"/>
  <c r="R15" i="58"/>
  <c r="AD4" i="58"/>
  <c r="AD37" i="58" s="1"/>
  <c r="S4" i="58"/>
  <c r="S37" i="58" s="1"/>
  <c r="I4" i="58"/>
  <c r="AA4" i="58"/>
  <c r="AA37" i="58" s="1"/>
  <c r="F4" i="58"/>
  <c r="F37" i="58" s="1"/>
  <c r="AG15" i="58"/>
  <c r="Q15" i="58"/>
  <c r="AC4" i="58"/>
  <c r="AC37" i="58" s="1"/>
  <c r="R4" i="58"/>
  <c r="R37" i="58" s="1"/>
  <c r="G4" i="58"/>
  <c r="AD15" i="58"/>
  <c r="N15" i="58"/>
  <c r="Q4" i="58"/>
  <c r="Q37" i="58" s="1"/>
  <c r="Z15" i="58"/>
  <c r="AC15" i="58"/>
  <c r="M15" i="58"/>
  <c r="Z4" i="58"/>
  <c r="Z26" i="58" s="1"/>
  <c r="O4" i="58"/>
  <c r="E4" i="58"/>
  <c r="E37" i="58" s="1"/>
  <c r="Y15" i="58"/>
  <c r="I15" i="58"/>
  <c r="W4" i="58"/>
  <c r="M4" i="58"/>
  <c r="M37" i="58" s="1"/>
  <c r="U15" i="58"/>
  <c r="E15" i="58"/>
  <c r="AE4" i="58"/>
  <c r="U4" i="58"/>
  <c r="U37" i="58" s="1"/>
  <c r="J4" i="58"/>
  <c r="J26" i="58" s="1"/>
  <c r="E28" i="58"/>
  <c r="E39" i="58" s="1"/>
  <c r="U28" i="58"/>
  <c r="U39" i="58" s="1"/>
  <c r="K4" i="58"/>
  <c r="K37" i="58" s="1"/>
  <c r="AI15" i="62"/>
  <c r="AJ15" i="62"/>
  <c r="T15" i="62"/>
  <c r="P15" i="62"/>
  <c r="L15" i="62"/>
  <c r="AG15" i="62"/>
  <c r="Q15" i="62"/>
  <c r="AF15" i="62"/>
  <c r="AB15" i="62"/>
  <c r="AC15" i="62"/>
  <c r="M15" i="62"/>
  <c r="Y15" i="62"/>
  <c r="I15" i="62"/>
  <c r="X15" i="62"/>
  <c r="H15" i="62"/>
  <c r="AK15" i="62"/>
  <c r="U15" i="62"/>
  <c r="N4" i="58"/>
  <c r="N37" i="58" s="1"/>
  <c r="V4" i="58"/>
  <c r="V37" i="58" s="1"/>
  <c r="AJ18" i="62"/>
  <c r="AH18" i="62"/>
  <c r="P18" i="62"/>
  <c r="L18" i="62"/>
  <c r="AD18" i="62"/>
  <c r="M18" i="62"/>
  <c r="AB18" i="62"/>
  <c r="X18" i="62"/>
  <c r="H18" i="62"/>
  <c r="Y18" i="62"/>
  <c r="I18" i="62"/>
  <c r="U18" i="62"/>
  <c r="T18" i="62"/>
  <c r="AI18" i="62"/>
  <c r="Q18" i="62"/>
  <c r="AB28" i="58"/>
  <c r="AB39" i="58" s="1"/>
  <c r="T35" i="59"/>
  <c r="AJ35" i="59"/>
  <c r="R36" i="59"/>
  <c r="AH36" i="59"/>
  <c r="AD37" i="59"/>
  <c r="AC45" i="59"/>
  <c r="Y54" i="59"/>
  <c r="I4" i="61"/>
  <c r="I37" i="61" s="1"/>
  <c r="M15" i="61"/>
  <c r="Q31" i="62"/>
  <c r="M36" i="62"/>
  <c r="X36" i="62"/>
  <c r="AK37" i="62"/>
  <c r="AH39" i="62"/>
  <c r="M54" i="63"/>
  <c r="Z86" i="63"/>
  <c r="N36" i="62"/>
  <c r="Y36" i="62"/>
  <c r="N54" i="63"/>
  <c r="U35" i="59"/>
  <c r="AK35" i="59"/>
  <c r="AG45" i="59"/>
  <c r="H35" i="59"/>
  <c r="X35" i="59"/>
  <c r="V36" i="59"/>
  <c r="Y31" i="62"/>
  <c r="P36" i="62"/>
  <c r="Z36" i="62"/>
  <c r="J39" i="62"/>
  <c r="Q54" i="63"/>
  <c r="H28" i="58"/>
  <c r="H39" i="58" s="1"/>
  <c r="C39" i="58" s="1"/>
  <c r="P28" i="58"/>
  <c r="P39" i="58" s="1"/>
  <c r="X28" i="58"/>
  <c r="X39" i="58" s="1"/>
  <c r="AF28" i="58"/>
  <c r="AF39" i="58" s="1"/>
  <c r="L35" i="59"/>
  <c r="AB35" i="59"/>
  <c r="J36" i="59"/>
  <c r="Z36" i="59"/>
  <c r="N37" i="59"/>
  <c r="I45" i="59"/>
  <c r="M47" i="59"/>
  <c r="AG52" i="59"/>
  <c r="I34" i="60"/>
  <c r="K38" i="60"/>
  <c r="E49" i="60"/>
  <c r="F49" i="60" s="1"/>
  <c r="R54" i="60"/>
  <c r="AH54" i="60"/>
  <c r="V86" i="60"/>
  <c r="Y4" i="61"/>
  <c r="Y37" i="61" s="1"/>
  <c r="AC15" i="61"/>
  <c r="AG31" i="62"/>
  <c r="H36" i="62"/>
  <c r="R36" i="62"/>
  <c r="AC36" i="62"/>
  <c r="R39" i="62"/>
  <c r="L45" i="62"/>
  <c r="L52" i="62"/>
  <c r="Y54" i="63"/>
  <c r="Q36" i="62"/>
  <c r="C6" i="58"/>
  <c r="AB36" i="62"/>
  <c r="M35" i="59"/>
  <c r="J34" i="60"/>
  <c r="AK31" i="62"/>
  <c r="I36" i="62"/>
  <c r="AD36" i="62"/>
  <c r="V39" i="62"/>
  <c r="P52" i="62"/>
  <c r="AC54" i="63"/>
  <c r="J28" i="58"/>
  <c r="J39" i="58" s="1"/>
  <c r="R28" i="58"/>
  <c r="R39" i="58" s="1"/>
  <c r="Z28" i="58"/>
  <c r="Z39" i="58" s="1"/>
  <c r="P35" i="59"/>
  <c r="AF35" i="59"/>
  <c r="N36" i="59"/>
  <c r="AD36" i="59"/>
  <c r="V37" i="59"/>
  <c r="Q45" i="59"/>
  <c r="AC47" i="59"/>
  <c r="I54" i="59"/>
  <c r="H12" i="60"/>
  <c r="V54" i="60"/>
  <c r="I65" i="60"/>
  <c r="AD86" i="60"/>
  <c r="AG4" i="61"/>
  <c r="E15" i="61"/>
  <c r="I31" i="62"/>
  <c r="J36" i="62"/>
  <c r="U36" i="62"/>
  <c r="AF36" i="62"/>
  <c r="AC37" i="62"/>
  <c r="Z39" i="62"/>
  <c r="AB45" i="62"/>
  <c r="AB52" i="62"/>
  <c r="J35" i="63"/>
  <c r="I54" i="63"/>
  <c r="AG54" i="63"/>
  <c r="R86" i="63"/>
  <c r="AC35" i="59"/>
  <c r="M45" i="59"/>
  <c r="T36" i="62"/>
  <c r="P45" i="62"/>
  <c r="C17" i="58"/>
  <c r="S28" i="58"/>
  <c r="S39" i="58" s="1"/>
  <c r="Q35" i="59"/>
  <c r="AG35" i="59"/>
  <c r="Q36" i="59"/>
  <c r="AG36" i="59"/>
  <c r="Z37" i="59"/>
  <c r="M54" i="59"/>
  <c r="I30" i="60"/>
  <c r="H54" i="60"/>
  <c r="X54" i="60"/>
  <c r="AH86" i="60"/>
  <c r="I15" i="61"/>
  <c r="M31" i="62"/>
  <c r="L36" i="62"/>
  <c r="V36" i="62"/>
  <c r="AJ36" i="62"/>
  <c r="AG37" i="62"/>
  <c r="AD39" i="62"/>
  <c r="J54" i="63"/>
  <c r="AK54" i="63"/>
  <c r="V86" i="63"/>
  <c r="AI17" i="62"/>
  <c r="AE17" i="62"/>
  <c r="AA17" i="62"/>
  <c r="W17" i="62"/>
  <c r="S17" i="62"/>
  <c r="O17" i="62"/>
  <c r="K17" i="62"/>
  <c r="AH17" i="62"/>
  <c r="AD17" i="62"/>
  <c r="Z17" i="62"/>
  <c r="V17" i="62"/>
  <c r="R17" i="62"/>
  <c r="N17" i="62"/>
  <c r="J17" i="62"/>
  <c r="AK17" i="62"/>
  <c r="AG17" i="62"/>
  <c r="AC17" i="62"/>
  <c r="Y17" i="62"/>
  <c r="U17" i="62"/>
  <c r="Q17" i="62"/>
  <c r="M17" i="62"/>
  <c r="I17" i="62"/>
  <c r="AF17" i="62"/>
  <c r="P17" i="62"/>
  <c r="AB17" i="62"/>
  <c r="L17" i="62"/>
  <c r="X17" i="62"/>
  <c r="H17" i="62"/>
  <c r="E26" i="61"/>
  <c r="U26" i="61"/>
  <c r="T17" i="62"/>
  <c r="AJ17" i="62"/>
  <c r="G28" i="61"/>
  <c r="G39" i="61" s="1"/>
  <c r="K28" i="61"/>
  <c r="K39" i="61" s="1"/>
  <c r="O28" i="61"/>
  <c r="O39" i="61" s="1"/>
  <c r="S28" i="61"/>
  <c r="S39" i="61" s="1"/>
  <c r="W28" i="61"/>
  <c r="W39" i="61" s="1"/>
  <c r="AA28" i="61"/>
  <c r="AA39" i="61" s="1"/>
  <c r="AE28" i="61"/>
  <c r="AE39" i="61" s="1"/>
  <c r="M26" i="61"/>
  <c r="AC26" i="61"/>
  <c r="F4" i="61"/>
  <c r="J4" i="61"/>
  <c r="N4" i="61"/>
  <c r="R4" i="61"/>
  <c r="V4" i="61"/>
  <c r="Z4" i="61"/>
  <c r="AD4" i="61"/>
  <c r="F15" i="61"/>
  <c r="J15" i="61"/>
  <c r="N15" i="61"/>
  <c r="R15" i="61"/>
  <c r="V15" i="61"/>
  <c r="Z15" i="61"/>
  <c r="AD15" i="61"/>
  <c r="D28" i="61"/>
  <c r="D39" i="61" s="1"/>
  <c r="H28" i="61"/>
  <c r="H39" i="61" s="1"/>
  <c r="L28" i="61"/>
  <c r="L39" i="61" s="1"/>
  <c r="P28" i="61"/>
  <c r="P39" i="61" s="1"/>
  <c r="T28" i="61"/>
  <c r="T39" i="61" s="1"/>
  <c r="X28" i="61"/>
  <c r="X39" i="61" s="1"/>
  <c r="AB28" i="61"/>
  <c r="AB39" i="61" s="1"/>
  <c r="AF28" i="61"/>
  <c r="AF39" i="61" s="1"/>
  <c r="AK20" i="62"/>
  <c r="AG20" i="62"/>
  <c r="AC20" i="62"/>
  <c r="Y20" i="62"/>
  <c r="U20" i="62"/>
  <c r="Q20" i="62"/>
  <c r="M20" i="62"/>
  <c r="I20" i="62"/>
  <c r="AJ20" i="62"/>
  <c r="AF20" i="62"/>
  <c r="AB20" i="62"/>
  <c r="AI20" i="62"/>
  <c r="AE20" i="62"/>
  <c r="AA20" i="62"/>
  <c r="AD20" i="62"/>
  <c r="V20" i="62"/>
  <c r="P20" i="62"/>
  <c r="K20" i="62"/>
  <c r="Z20" i="62"/>
  <c r="T20" i="62"/>
  <c r="O20" i="62"/>
  <c r="J20" i="62"/>
  <c r="X20" i="62"/>
  <c r="S20" i="62"/>
  <c r="N20" i="62"/>
  <c r="H20" i="62"/>
  <c r="AH20" i="62"/>
  <c r="AI50" i="62"/>
  <c r="AE50" i="62"/>
  <c r="AA50" i="62"/>
  <c r="W50" i="62"/>
  <c r="S50" i="62"/>
  <c r="O50" i="62"/>
  <c r="K50" i="62"/>
  <c r="AH50" i="62"/>
  <c r="AD50" i="62"/>
  <c r="Z50" i="62"/>
  <c r="V50" i="62"/>
  <c r="R50" i="62"/>
  <c r="N50" i="62"/>
  <c r="J50" i="62"/>
  <c r="AK50" i="62"/>
  <c r="AG50" i="62"/>
  <c r="AC50" i="62"/>
  <c r="Y50" i="62"/>
  <c r="U50" i="62"/>
  <c r="Q50" i="62"/>
  <c r="M50" i="62"/>
  <c r="I50" i="62"/>
  <c r="AF50" i="62"/>
  <c r="P50" i="62"/>
  <c r="AB50" i="62"/>
  <c r="L50" i="62"/>
  <c r="X50" i="62"/>
  <c r="H50" i="62"/>
  <c r="G4" i="61"/>
  <c r="K4" i="61"/>
  <c r="O4" i="61"/>
  <c r="S4" i="61"/>
  <c r="W4" i="61"/>
  <c r="AA4" i="61"/>
  <c r="AE4" i="61"/>
  <c r="G15" i="61"/>
  <c r="K15" i="61"/>
  <c r="O15" i="61"/>
  <c r="S15" i="61"/>
  <c r="W15" i="61"/>
  <c r="AA15" i="61"/>
  <c r="AE15" i="61"/>
  <c r="E28" i="61"/>
  <c r="E39" i="61" s="1"/>
  <c r="I28" i="61"/>
  <c r="I39" i="61" s="1"/>
  <c r="M28" i="61"/>
  <c r="M39" i="61" s="1"/>
  <c r="Q28" i="61"/>
  <c r="Q39" i="61" s="1"/>
  <c r="U28" i="61"/>
  <c r="U39" i="61" s="1"/>
  <c r="Y28" i="61"/>
  <c r="Y39" i="61" s="1"/>
  <c r="AC28" i="61"/>
  <c r="AC39" i="61" s="1"/>
  <c r="AG28" i="61"/>
  <c r="AG39" i="61" s="1"/>
  <c r="D37" i="61"/>
  <c r="AK19" i="62"/>
  <c r="AG19" i="62"/>
  <c r="AC19" i="62"/>
  <c r="Y19" i="62"/>
  <c r="U19" i="62"/>
  <c r="Q19" i="62"/>
  <c r="M19" i="62"/>
  <c r="I19" i="62"/>
  <c r="AF19" i="62"/>
  <c r="AA19" i="62"/>
  <c r="V19" i="62"/>
  <c r="P19" i="62"/>
  <c r="K19" i="62"/>
  <c r="AJ19" i="62"/>
  <c r="AE19" i="62"/>
  <c r="Z19" i="62"/>
  <c r="T19" i="62"/>
  <c r="O19" i="62"/>
  <c r="J19" i="62"/>
  <c r="AI19" i="62"/>
  <c r="AD19" i="62"/>
  <c r="X19" i="62"/>
  <c r="S19" i="62"/>
  <c r="N19" i="62"/>
  <c r="H19" i="62"/>
  <c r="AB19" i="62"/>
  <c r="L20" i="62"/>
  <c r="T50" i="62"/>
  <c r="J19" i="63"/>
  <c r="I19" i="63"/>
  <c r="H19" i="63"/>
  <c r="K19" i="63"/>
  <c r="H4" i="61"/>
  <c r="L4" i="61"/>
  <c r="P4" i="61"/>
  <c r="T4" i="61"/>
  <c r="X4" i="61"/>
  <c r="AB4" i="61"/>
  <c r="AF4" i="61"/>
  <c r="D15" i="61"/>
  <c r="H15" i="61"/>
  <c r="L15" i="61"/>
  <c r="P15" i="61"/>
  <c r="T15" i="61"/>
  <c r="X15" i="61"/>
  <c r="AB15" i="61"/>
  <c r="AF15" i="61"/>
  <c r="L19" i="62"/>
  <c r="AH19" i="62"/>
  <c r="R20" i="62"/>
  <c r="AJ50" i="62"/>
  <c r="AK22" i="62"/>
  <c r="AG22" i="62"/>
  <c r="AC22" i="62"/>
  <c r="Y22" i="62"/>
  <c r="U22" i="62"/>
  <c r="Q22" i="62"/>
  <c r="M22" i="62"/>
  <c r="I22" i="62"/>
  <c r="AJ22" i="62"/>
  <c r="AF22" i="62"/>
  <c r="AB22" i="62"/>
  <c r="X22" i="62"/>
  <c r="T22" i="62"/>
  <c r="P22" i="62"/>
  <c r="L22" i="62"/>
  <c r="H22" i="62"/>
  <c r="AI22" i="62"/>
  <c r="AE22" i="62"/>
  <c r="AA22" i="62"/>
  <c r="W22" i="62"/>
  <c r="S22" i="62"/>
  <c r="O22" i="62"/>
  <c r="K22" i="62"/>
  <c r="V22" i="62"/>
  <c r="AI51" i="62"/>
  <c r="AE51" i="62"/>
  <c r="AA51" i="62"/>
  <c r="W51" i="62"/>
  <c r="S51" i="62"/>
  <c r="O51" i="62"/>
  <c r="K51" i="62"/>
  <c r="AH51" i="62"/>
  <c r="AD51" i="62"/>
  <c r="Z51" i="62"/>
  <c r="V51" i="62"/>
  <c r="R51" i="62"/>
  <c r="N51" i="62"/>
  <c r="J51" i="62"/>
  <c r="AK51" i="62"/>
  <c r="AG51" i="62"/>
  <c r="AC51" i="62"/>
  <c r="Y51" i="62"/>
  <c r="U51" i="62"/>
  <c r="Q51" i="62"/>
  <c r="M51" i="62"/>
  <c r="I51" i="62"/>
  <c r="T51" i="62"/>
  <c r="AJ51" i="62"/>
  <c r="J13" i="62"/>
  <c r="N13" i="62"/>
  <c r="R13" i="62"/>
  <c r="V13" i="62"/>
  <c r="Z13" i="62"/>
  <c r="AD13" i="62"/>
  <c r="AH13" i="62"/>
  <c r="J15" i="62"/>
  <c r="N15" i="62"/>
  <c r="R15" i="62"/>
  <c r="V15" i="62"/>
  <c r="Z15" i="62"/>
  <c r="AD15" i="62"/>
  <c r="AH15" i="62"/>
  <c r="J18" i="62"/>
  <c r="N18" i="62"/>
  <c r="R18" i="62"/>
  <c r="V18" i="62"/>
  <c r="Z18" i="62"/>
  <c r="AE18" i="62"/>
  <c r="J22" i="62"/>
  <c r="Z22" i="62"/>
  <c r="S35" i="62"/>
  <c r="AI45" i="62"/>
  <c r="AE45" i="62"/>
  <c r="AA45" i="62"/>
  <c r="W45" i="62"/>
  <c r="S45" i="62"/>
  <c r="O45" i="62"/>
  <c r="K45" i="62"/>
  <c r="AH45" i="62"/>
  <c r="AD45" i="62"/>
  <c r="Z45" i="62"/>
  <c r="V45" i="62"/>
  <c r="R45" i="62"/>
  <c r="N45" i="62"/>
  <c r="J45" i="62"/>
  <c r="AK45" i="62"/>
  <c r="AG45" i="62"/>
  <c r="AC45" i="62"/>
  <c r="Y45" i="62"/>
  <c r="U45" i="62"/>
  <c r="Q45" i="62"/>
  <c r="M45" i="62"/>
  <c r="I45" i="62"/>
  <c r="T45" i="62"/>
  <c r="AJ45" i="62"/>
  <c r="H51" i="62"/>
  <c r="X51" i="62"/>
  <c r="AI52" i="62"/>
  <c r="AE52" i="62"/>
  <c r="AA52" i="62"/>
  <c r="W52" i="62"/>
  <c r="S52" i="62"/>
  <c r="O52" i="62"/>
  <c r="K52" i="62"/>
  <c r="AH52" i="62"/>
  <c r="AD52" i="62"/>
  <c r="Z52" i="62"/>
  <c r="V52" i="62"/>
  <c r="R52" i="62"/>
  <c r="N52" i="62"/>
  <c r="J52" i="62"/>
  <c r="AK52" i="62"/>
  <c r="AG52" i="62"/>
  <c r="AC52" i="62"/>
  <c r="Y52" i="62"/>
  <c r="U52" i="62"/>
  <c r="Q52" i="62"/>
  <c r="M52" i="62"/>
  <c r="I52" i="62"/>
  <c r="T52" i="62"/>
  <c r="AJ52" i="62"/>
  <c r="H16" i="63"/>
  <c r="K16" i="63"/>
  <c r="J16" i="63"/>
  <c r="I16" i="63"/>
  <c r="J34" i="63"/>
  <c r="I34" i="63"/>
  <c r="L34" i="63"/>
  <c r="H34" i="63"/>
  <c r="K34" i="63"/>
  <c r="K13" i="62"/>
  <c r="O13" i="62"/>
  <c r="S13" i="62"/>
  <c r="W13" i="62"/>
  <c r="AA13" i="62"/>
  <c r="AE13" i="62"/>
  <c r="K15" i="62"/>
  <c r="O15" i="62"/>
  <c r="S15" i="62"/>
  <c r="W15" i="62"/>
  <c r="AA15" i="62"/>
  <c r="AE15" i="62"/>
  <c r="AK18" i="62"/>
  <c r="AG18" i="62"/>
  <c r="AC18" i="62"/>
  <c r="K18" i="62"/>
  <c r="O18" i="62"/>
  <c r="S18" i="62"/>
  <c r="W18" i="62"/>
  <c r="AA18" i="62"/>
  <c r="AF18" i="62"/>
  <c r="N22" i="62"/>
  <c r="AD22" i="62"/>
  <c r="AH35" i="62"/>
  <c r="AD35" i="62"/>
  <c r="Z35" i="62"/>
  <c r="V35" i="62"/>
  <c r="R35" i="62"/>
  <c r="N35" i="62"/>
  <c r="J35" i="62"/>
  <c r="AK35" i="62"/>
  <c r="AG35" i="62"/>
  <c r="AC35" i="62"/>
  <c r="Y35" i="62"/>
  <c r="U35" i="62"/>
  <c r="Q35" i="62"/>
  <c r="M35" i="62"/>
  <c r="I35" i="62"/>
  <c r="AJ35" i="62"/>
  <c r="AF35" i="62"/>
  <c r="AB35" i="62"/>
  <c r="X35" i="62"/>
  <c r="T35" i="62"/>
  <c r="P35" i="62"/>
  <c r="L35" i="62"/>
  <c r="H35" i="62"/>
  <c r="W35" i="62"/>
  <c r="H45" i="62"/>
  <c r="X45" i="62"/>
  <c r="AI47" i="62"/>
  <c r="AE47" i="62"/>
  <c r="AA47" i="62"/>
  <c r="W47" i="62"/>
  <c r="S47" i="62"/>
  <c r="O47" i="62"/>
  <c r="K47" i="62"/>
  <c r="AH47" i="62"/>
  <c r="AD47" i="62"/>
  <c r="Z47" i="62"/>
  <c r="V47" i="62"/>
  <c r="R47" i="62"/>
  <c r="N47" i="62"/>
  <c r="J47" i="62"/>
  <c r="AK47" i="62"/>
  <c r="AG47" i="62"/>
  <c r="AC47" i="62"/>
  <c r="Y47" i="62"/>
  <c r="U47" i="62"/>
  <c r="Q47" i="62"/>
  <c r="M47" i="62"/>
  <c r="I47" i="62"/>
  <c r="T47" i="62"/>
  <c r="AJ47" i="62"/>
  <c r="L51" i="62"/>
  <c r="AB51" i="62"/>
  <c r="H52" i="62"/>
  <c r="X52" i="62"/>
  <c r="AI54" i="62"/>
  <c r="AE54" i="62"/>
  <c r="AA54" i="62"/>
  <c r="W54" i="62"/>
  <c r="S54" i="62"/>
  <c r="O54" i="62"/>
  <c r="K54" i="62"/>
  <c r="AH54" i="62"/>
  <c r="AD64" i="62" s="1"/>
  <c r="AD54" i="62"/>
  <c r="Z54" i="62"/>
  <c r="V54" i="62"/>
  <c r="R54" i="62"/>
  <c r="N54" i="62"/>
  <c r="J54" i="62"/>
  <c r="AK54" i="62"/>
  <c r="AG54" i="62"/>
  <c r="AC54" i="62"/>
  <c r="Y54" i="62"/>
  <c r="U54" i="62"/>
  <c r="Q54" i="62"/>
  <c r="M54" i="62"/>
  <c r="I54" i="62"/>
  <c r="T54" i="62"/>
  <c r="AJ54" i="62"/>
  <c r="J31" i="62"/>
  <c r="N31" i="62"/>
  <c r="R31" i="62"/>
  <c r="V31" i="62"/>
  <c r="Z31" i="62"/>
  <c r="AD31" i="62"/>
  <c r="AH31" i="62"/>
  <c r="K33" i="62"/>
  <c r="O33" i="62"/>
  <c r="S33" i="62"/>
  <c r="W33" i="62"/>
  <c r="AA33" i="62"/>
  <c r="AE33" i="62"/>
  <c r="AI33" i="62"/>
  <c r="AG36" i="62"/>
  <c r="AK36" i="62"/>
  <c r="J37" i="62"/>
  <c r="N37" i="62"/>
  <c r="R37" i="62"/>
  <c r="V37" i="62"/>
  <c r="Z37" i="62"/>
  <c r="AD37" i="62"/>
  <c r="AH37" i="62"/>
  <c r="K39" i="62"/>
  <c r="O39" i="62"/>
  <c r="S39" i="62"/>
  <c r="W39" i="62"/>
  <c r="AA39" i="62"/>
  <c r="AE39" i="62"/>
  <c r="AI39" i="62"/>
  <c r="H18" i="63"/>
  <c r="K18" i="63"/>
  <c r="J18" i="63"/>
  <c r="J36" i="63"/>
  <c r="I36" i="63"/>
  <c r="L36" i="63"/>
  <c r="H36" i="63"/>
  <c r="L62" i="63"/>
  <c r="H62" i="63"/>
  <c r="K62" i="63"/>
  <c r="J62" i="63"/>
  <c r="I62" i="63"/>
  <c r="K31" i="62"/>
  <c r="O31" i="62"/>
  <c r="S31" i="62"/>
  <c r="W31" i="62"/>
  <c r="AA31" i="62"/>
  <c r="AE31" i="62"/>
  <c r="AI31" i="62"/>
  <c r="H33" i="62"/>
  <c r="L33" i="62"/>
  <c r="P33" i="62"/>
  <c r="T33" i="62"/>
  <c r="X33" i="62"/>
  <c r="AB33" i="62"/>
  <c r="AF33" i="62"/>
  <c r="AJ33" i="62"/>
  <c r="AH36" i="62"/>
  <c r="K37" i="62"/>
  <c r="O37" i="62"/>
  <c r="S37" i="62"/>
  <c r="W37" i="62"/>
  <c r="AA37" i="62"/>
  <c r="AE37" i="62"/>
  <c r="AI37" i="62"/>
  <c r="H39" i="62"/>
  <c r="L39" i="62"/>
  <c r="P39" i="62"/>
  <c r="T39" i="62"/>
  <c r="X39" i="62"/>
  <c r="AB39" i="62"/>
  <c r="AF39" i="62"/>
  <c r="AJ39" i="62"/>
  <c r="J14" i="63"/>
  <c r="I14" i="63"/>
  <c r="H14" i="63"/>
  <c r="I18" i="63"/>
  <c r="H21" i="63"/>
  <c r="K21" i="63"/>
  <c r="J21" i="63"/>
  <c r="K36" i="63"/>
  <c r="H31" i="62"/>
  <c r="L31" i="62"/>
  <c r="P31" i="62"/>
  <c r="T31" i="62"/>
  <c r="X31" i="62"/>
  <c r="AB31" i="62"/>
  <c r="AF31" i="62"/>
  <c r="I33" i="62"/>
  <c r="M33" i="62"/>
  <c r="Q33" i="62"/>
  <c r="U33" i="62"/>
  <c r="Y33" i="62"/>
  <c r="AC33" i="62"/>
  <c r="AG33" i="62"/>
  <c r="K36" i="62"/>
  <c r="O36" i="62"/>
  <c r="S36" i="62"/>
  <c r="W36" i="62"/>
  <c r="AA36" i="62"/>
  <c r="AE36" i="62"/>
  <c r="H37" i="62"/>
  <c r="L37" i="62"/>
  <c r="P37" i="62"/>
  <c r="T37" i="62"/>
  <c r="X37" i="62"/>
  <c r="AB37" i="62"/>
  <c r="AF37" i="62"/>
  <c r="I39" i="62"/>
  <c r="M39" i="62"/>
  <c r="Q39" i="62"/>
  <c r="U39" i="62"/>
  <c r="Y39" i="62"/>
  <c r="AC39" i="62"/>
  <c r="AG39" i="62"/>
  <c r="H12" i="63"/>
  <c r="K12" i="63"/>
  <c r="J12" i="63"/>
  <c r="K14" i="63"/>
  <c r="J17" i="63"/>
  <c r="I17" i="63"/>
  <c r="H17" i="63"/>
  <c r="I21" i="63"/>
  <c r="J30" i="63"/>
  <c r="I30" i="63"/>
  <c r="L30" i="63"/>
  <c r="H30" i="63"/>
  <c r="E52" i="63"/>
  <c r="F52" i="63" s="1"/>
  <c r="E51" i="63"/>
  <c r="F51" i="63" s="1"/>
  <c r="K60" i="63"/>
  <c r="J60" i="63"/>
  <c r="I60" i="63"/>
  <c r="J66" i="63"/>
  <c r="I66" i="63"/>
  <c r="L66" i="63"/>
  <c r="H66" i="63"/>
  <c r="K32" i="63"/>
  <c r="K35" i="63"/>
  <c r="K38" i="63"/>
  <c r="E46" i="63"/>
  <c r="F46" i="63" s="1"/>
  <c r="H60" i="63"/>
  <c r="I65" i="63"/>
  <c r="L65" i="63"/>
  <c r="H65" i="63"/>
  <c r="K65" i="63"/>
  <c r="K66" i="63"/>
  <c r="L69" i="63"/>
  <c r="H69" i="63"/>
  <c r="K69" i="63"/>
  <c r="J69" i="63"/>
  <c r="H32" i="63"/>
  <c r="H35" i="63"/>
  <c r="H38" i="63"/>
  <c r="E48" i="63"/>
  <c r="F48" i="63" s="1"/>
  <c r="E50" i="63"/>
  <c r="F50" i="63" s="1"/>
  <c r="L60" i="63"/>
  <c r="J65" i="63"/>
  <c r="K67" i="63"/>
  <c r="J67" i="63"/>
  <c r="I67" i="63"/>
  <c r="I69" i="63"/>
  <c r="E85" i="63"/>
  <c r="F85" i="63" s="1"/>
  <c r="E84" i="63"/>
  <c r="F84" i="63" s="1"/>
  <c r="E83" i="63"/>
  <c r="F83" i="63" s="1"/>
  <c r="E82" i="63"/>
  <c r="F82" i="63" s="1"/>
  <c r="E78" i="63"/>
  <c r="F78" i="63" s="1"/>
  <c r="R54" i="63"/>
  <c r="V54" i="63"/>
  <c r="Z54" i="63"/>
  <c r="AD54" i="63"/>
  <c r="AH54" i="63"/>
  <c r="K54" i="63"/>
  <c r="O54" i="63"/>
  <c r="S54" i="63"/>
  <c r="W54" i="63"/>
  <c r="AA54" i="63"/>
  <c r="AE54" i="63"/>
  <c r="AI54" i="63"/>
  <c r="H54" i="63"/>
  <c r="L54" i="63"/>
  <c r="P54" i="63"/>
  <c r="T54" i="63"/>
  <c r="X54" i="63"/>
  <c r="AB54" i="63"/>
  <c r="AF54" i="63"/>
  <c r="O86" i="63"/>
  <c r="S86" i="63"/>
  <c r="W86" i="63"/>
  <c r="AA86" i="63"/>
  <c r="AE86" i="63"/>
  <c r="AI86" i="63"/>
  <c r="L86" i="63"/>
  <c r="P86" i="63"/>
  <c r="T86" i="63"/>
  <c r="X86" i="63"/>
  <c r="AB86" i="63"/>
  <c r="AF86" i="63"/>
  <c r="AJ86" i="63"/>
  <c r="M86" i="63"/>
  <c r="Q86" i="63"/>
  <c r="U86" i="63"/>
  <c r="Y86" i="63"/>
  <c r="AC86" i="63"/>
  <c r="AG86" i="63"/>
  <c r="AK20" i="59"/>
  <c r="AG20" i="59"/>
  <c r="AC20" i="59"/>
  <c r="Y20" i="59"/>
  <c r="U20" i="59"/>
  <c r="Q20" i="59"/>
  <c r="M20" i="59"/>
  <c r="I20" i="59"/>
  <c r="AJ20" i="59"/>
  <c r="AF20" i="59"/>
  <c r="AB20" i="59"/>
  <c r="X20" i="59"/>
  <c r="T20" i="59"/>
  <c r="P20" i="59"/>
  <c r="L20" i="59"/>
  <c r="H20" i="59"/>
  <c r="AI20" i="59"/>
  <c r="AA20" i="59"/>
  <c r="S20" i="59"/>
  <c r="K20" i="59"/>
  <c r="AE20" i="59"/>
  <c r="W20" i="59"/>
  <c r="AD20" i="59"/>
  <c r="N20" i="59"/>
  <c r="AH20" i="59"/>
  <c r="Z20" i="59"/>
  <c r="R20" i="59"/>
  <c r="J20" i="59"/>
  <c r="O20" i="59"/>
  <c r="V20" i="59"/>
  <c r="M26" i="58"/>
  <c r="AC26" i="58"/>
  <c r="AK13" i="59"/>
  <c r="AG13" i="59"/>
  <c r="AC13" i="59"/>
  <c r="Y13" i="59"/>
  <c r="U13" i="59"/>
  <c r="Q13" i="59"/>
  <c r="M13" i="59"/>
  <c r="I13" i="59"/>
  <c r="AJ13" i="59"/>
  <c r="AF13" i="59"/>
  <c r="AB13" i="59"/>
  <c r="X13" i="59"/>
  <c r="T13" i="59"/>
  <c r="P13" i="59"/>
  <c r="L13" i="59"/>
  <c r="H13" i="59"/>
  <c r="AI13" i="59"/>
  <c r="AA13" i="59"/>
  <c r="S13" i="59"/>
  <c r="K13" i="59"/>
  <c r="W13" i="59"/>
  <c r="O13" i="59"/>
  <c r="AH13" i="59"/>
  <c r="Z13" i="59"/>
  <c r="R13" i="59"/>
  <c r="J13" i="59"/>
  <c r="AE13" i="59"/>
  <c r="AK15" i="59"/>
  <c r="AG15" i="59"/>
  <c r="AC15" i="59"/>
  <c r="Y15" i="59"/>
  <c r="U15" i="59"/>
  <c r="Q15" i="59"/>
  <c r="M15" i="59"/>
  <c r="I15" i="59"/>
  <c r="AJ15" i="59"/>
  <c r="AF15" i="59"/>
  <c r="AB15" i="59"/>
  <c r="X15" i="59"/>
  <c r="T15" i="59"/>
  <c r="P15" i="59"/>
  <c r="L15" i="59"/>
  <c r="H15" i="59"/>
  <c r="AI15" i="59"/>
  <c r="AA15" i="59"/>
  <c r="S15" i="59"/>
  <c r="K15" i="59"/>
  <c r="AE15" i="59"/>
  <c r="O15" i="59"/>
  <c r="AH15" i="59"/>
  <c r="Z15" i="59"/>
  <c r="R15" i="59"/>
  <c r="J15" i="59"/>
  <c r="W15" i="59"/>
  <c r="AK17" i="59"/>
  <c r="AG17" i="59"/>
  <c r="AC17" i="59"/>
  <c r="Y17" i="59"/>
  <c r="U17" i="59"/>
  <c r="Q17" i="59"/>
  <c r="M17" i="59"/>
  <c r="I17" i="59"/>
  <c r="AJ17" i="59"/>
  <c r="AF17" i="59"/>
  <c r="AB17" i="59"/>
  <c r="X17" i="59"/>
  <c r="T17" i="59"/>
  <c r="P17" i="59"/>
  <c r="L17" i="59"/>
  <c r="H17" i="59"/>
  <c r="AI17" i="59"/>
  <c r="AA17" i="59"/>
  <c r="S17" i="59"/>
  <c r="K17" i="59"/>
  <c r="AE17" i="59"/>
  <c r="O17" i="59"/>
  <c r="V17" i="59"/>
  <c r="AH17" i="59"/>
  <c r="Z17" i="59"/>
  <c r="R17" i="59"/>
  <c r="J17" i="59"/>
  <c r="W17" i="59"/>
  <c r="AD17" i="59"/>
  <c r="N17" i="59"/>
  <c r="AK22" i="59"/>
  <c r="AG22" i="59"/>
  <c r="AC22" i="59"/>
  <c r="Y22" i="59"/>
  <c r="U22" i="59"/>
  <c r="Q22" i="59"/>
  <c r="M22" i="59"/>
  <c r="I22" i="59"/>
  <c r="AJ22" i="59"/>
  <c r="AF22" i="59"/>
  <c r="AB22" i="59"/>
  <c r="X22" i="59"/>
  <c r="T22" i="59"/>
  <c r="P22" i="59"/>
  <c r="L22" i="59"/>
  <c r="H22" i="59"/>
  <c r="AI22" i="59"/>
  <c r="AA22" i="59"/>
  <c r="S22" i="59"/>
  <c r="K22" i="59"/>
  <c r="AE22" i="59"/>
  <c r="O22" i="59"/>
  <c r="N22" i="59"/>
  <c r="AH22" i="59"/>
  <c r="Z22" i="59"/>
  <c r="R22" i="59"/>
  <c r="J22" i="59"/>
  <c r="W22" i="59"/>
  <c r="AD22" i="59"/>
  <c r="V22" i="59"/>
  <c r="Q26" i="58"/>
  <c r="AG26" i="58"/>
  <c r="C28" i="58"/>
  <c r="N13" i="59"/>
  <c r="N15" i="59"/>
  <c r="AK18" i="59"/>
  <c r="AG18" i="59"/>
  <c r="AC18" i="59"/>
  <c r="Y18" i="59"/>
  <c r="U18" i="59"/>
  <c r="Q18" i="59"/>
  <c r="M18" i="59"/>
  <c r="I18" i="59"/>
  <c r="AJ18" i="59"/>
  <c r="AF18" i="59"/>
  <c r="AB18" i="59"/>
  <c r="X18" i="59"/>
  <c r="T18" i="59"/>
  <c r="P18" i="59"/>
  <c r="L18" i="59"/>
  <c r="H18" i="59"/>
  <c r="AI18" i="59"/>
  <c r="AA18" i="59"/>
  <c r="S18" i="59"/>
  <c r="K18" i="59"/>
  <c r="O18" i="59"/>
  <c r="AD18" i="59"/>
  <c r="V18" i="59"/>
  <c r="AH18" i="59"/>
  <c r="Z18" i="59"/>
  <c r="R18" i="59"/>
  <c r="J18" i="59"/>
  <c r="AE18" i="59"/>
  <c r="W18" i="59"/>
  <c r="N18" i="59"/>
  <c r="E26" i="58"/>
  <c r="U26" i="58"/>
  <c r="V13" i="59"/>
  <c r="V15" i="59"/>
  <c r="AK19" i="59"/>
  <c r="AG19" i="59"/>
  <c r="AC19" i="59"/>
  <c r="Y19" i="59"/>
  <c r="U19" i="59"/>
  <c r="Q19" i="59"/>
  <c r="M19" i="59"/>
  <c r="I19" i="59"/>
  <c r="AJ19" i="59"/>
  <c r="AF19" i="59"/>
  <c r="AB19" i="59"/>
  <c r="X19" i="59"/>
  <c r="T19" i="59"/>
  <c r="P19" i="59"/>
  <c r="L19" i="59"/>
  <c r="H19" i="59"/>
  <c r="AI19" i="59"/>
  <c r="AA19" i="59"/>
  <c r="S19" i="59"/>
  <c r="K19" i="59"/>
  <c r="W19" i="59"/>
  <c r="AD19" i="59"/>
  <c r="N19" i="59"/>
  <c r="AH19" i="59"/>
  <c r="Z19" i="59"/>
  <c r="R19" i="59"/>
  <c r="J19" i="59"/>
  <c r="AE19" i="59"/>
  <c r="O19" i="59"/>
  <c r="V19" i="59"/>
  <c r="F26" i="58"/>
  <c r="V26" i="58"/>
  <c r="J37" i="58"/>
  <c r="H19" i="60"/>
  <c r="K19" i="60"/>
  <c r="J19" i="60"/>
  <c r="I19" i="60"/>
  <c r="G15" i="58"/>
  <c r="K15" i="58"/>
  <c r="O15" i="58"/>
  <c r="S15" i="58"/>
  <c r="W15" i="58"/>
  <c r="AA15" i="58"/>
  <c r="AE15" i="58"/>
  <c r="K26" i="58"/>
  <c r="S26" i="58"/>
  <c r="AA26" i="58"/>
  <c r="AH33" i="59"/>
  <c r="AD33" i="59"/>
  <c r="Z33" i="59"/>
  <c r="V33" i="59"/>
  <c r="R33" i="59"/>
  <c r="N33" i="59"/>
  <c r="J33" i="59"/>
  <c r="AK33" i="59"/>
  <c r="AG33" i="59"/>
  <c r="AC33" i="59"/>
  <c r="Y33" i="59"/>
  <c r="U33" i="59"/>
  <c r="Q33" i="59"/>
  <c r="M33" i="59"/>
  <c r="I33" i="59"/>
  <c r="AJ33" i="59"/>
  <c r="AB33" i="59"/>
  <c r="T33" i="59"/>
  <c r="L33" i="59"/>
  <c r="AI33" i="59"/>
  <c r="AA33" i="59"/>
  <c r="S33" i="59"/>
  <c r="K33" i="59"/>
  <c r="W33" i="59"/>
  <c r="AJ50" i="59"/>
  <c r="AF50" i="59"/>
  <c r="AB50" i="59"/>
  <c r="X50" i="59"/>
  <c r="T50" i="59"/>
  <c r="P50" i="59"/>
  <c r="L50" i="59"/>
  <c r="H50" i="59"/>
  <c r="AI50" i="59"/>
  <c r="AE50" i="59"/>
  <c r="AA50" i="59"/>
  <c r="W50" i="59"/>
  <c r="S50" i="59"/>
  <c r="O50" i="59"/>
  <c r="K50" i="59"/>
  <c r="AH50" i="59"/>
  <c r="AD50" i="59"/>
  <c r="Z50" i="59"/>
  <c r="V50" i="59"/>
  <c r="R50" i="59"/>
  <c r="N50" i="59"/>
  <c r="J50" i="59"/>
  <c r="AG50" i="59"/>
  <c r="Q50" i="59"/>
  <c r="AC50" i="59"/>
  <c r="M50" i="59"/>
  <c r="AK50" i="59"/>
  <c r="AK45" i="60"/>
  <c r="AG45" i="60"/>
  <c r="AC45" i="60"/>
  <c r="Y45" i="60"/>
  <c r="U45" i="60"/>
  <c r="Q45" i="60"/>
  <c r="M45" i="60"/>
  <c r="I45" i="60"/>
  <c r="AJ45" i="60"/>
  <c r="AF45" i="60"/>
  <c r="AB45" i="60"/>
  <c r="X45" i="60"/>
  <c r="T45" i="60"/>
  <c r="P45" i="60"/>
  <c r="L45" i="60"/>
  <c r="H45" i="60"/>
  <c r="AD45" i="60"/>
  <c r="V45" i="60"/>
  <c r="N45" i="60"/>
  <c r="AI45" i="60"/>
  <c r="AA45" i="60"/>
  <c r="S45" i="60"/>
  <c r="K45" i="60"/>
  <c r="AH45" i="60"/>
  <c r="Z45" i="60"/>
  <c r="R45" i="60"/>
  <c r="J45" i="60"/>
  <c r="W45" i="60"/>
  <c r="O45" i="60"/>
  <c r="AH49" i="60"/>
  <c r="AD49" i="60"/>
  <c r="Z49" i="60"/>
  <c r="V49" i="60"/>
  <c r="R49" i="60"/>
  <c r="N49" i="60"/>
  <c r="AJ49" i="60"/>
  <c r="AF49" i="60"/>
  <c r="AB49" i="60"/>
  <c r="X49" i="60"/>
  <c r="T49" i="60"/>
  <c r="P49" i="60"/>
  <c r="AK49" i="60"/>
  <c r="AC49" i="60"/>
  <c r="U49" i="60"/>
  <c r="M49" i="60"/>
  <c r="I49" i="60"/>
  <c r="AI49" i="60"/>
  <c r="AA49" i="60"/>
  <c r="S49" i="60"/>
  <c r="L49" i="60"/>
  <c r="H49" i="60"/>
  <c r="AE49" i="60"/>
  <c r="O49" i="60"/>
  <c r="Y49" i="60"/>
  <c r="K49" i="60"/>
  <c r="W49" i="60"/>
  <c r="J49" i="60"/>
  <c r="AG49" i="60"/>
  <c r="Q49" i="60"/>
  <c r="R26" i="58"/>
  <c r="H4" i="58"/>
  <c r="L4" i="58"/>
  <c r="P4" i="58"/>
  <c r="T4" i="58"/>
  <c r="X4" i="58"/>
  <c r="AB4" i="58"/>
  <c r="AF4" i="58"/>
  <c r="D15" i="58"/>
  <c r="H15" i="58"/>
  <c r="L15" i="58"/>
  <c r="P15" i="58"/>
  <c r="T15" i="58"/>
  <c r="X15" i="58"/>
  <c r="AB15" i="58"/>
  <c r="AF15" i="58"/>
  <c r="D26" i="58"/>
  <c r="AK31" i="59"/>
  <c r="AG31" i="59"/>
  <c r="AC31" i="59"/>
  <c r="Y31" i="59"/>
  <c r="U31" i="59"/>
  <c r="Q31" i="59"/>
  <c r="M31" i="59"/>
  <c r="I31" i="59"/>
  <c r="AJ31" i="59"/>
  <c r="AF31" i="59"/>
  <c r="AB31" i="59"/>
  <c r="X31" i="59"/>
  <c r="T31" i="59"/>
  <c r="P31" i="59"/>
  <c r="L31" i="59"/>
  <c r="H31" i="59"/>
  <c r="AI31" i="59"/>
  <c r="AA31" i="59"/>
  <c r="S31" i="59"/>
  <c r="K31" i="59"/>
  <c r="AH31" i="59"/>
  <c r="Z31" i="59"/>
  <c r="R31" i="59"/>
  <c r="J31" i="59"/>
  <c r="W31" i="59"/>
  <c r="H33" i="59"/>
  <c r="X33" i="59"/>
  <c r="AH39" i="59"/>
  <c r="AD39" i="59"/>
  <c r="Z39" i="59"/>
  <c r="V39" i="59"/>
  <c r="R39" i="59"/>
  <c r="N39" i="59"/>
  <c r="J39" i="59"/>
  <c r="AK39" i="59"/>
  <c r="AG39" i="59"/>
  <c r="AC39" i="59"/>
  <c r="Y39" i="59"/>
  <c r="U39" i="59"/>
  <c r="Q39" i="59"/>
  <c r="M39" i="59"/>
  <c r="I39" i="59"/>
  <c r="AJ39" i="59"/>
  <c r="AF39" i="59"/>
  <c r="AB39" i="59"/>
  <c r="X39" i="59"/>
  <c r="T39" i="59"/>
  <c r="P39" i="59"/>
  <c r="L39" i="59"/>
  <c r="H39" i="59"/>
  <c r="AE39" i="59"/>
  <c r="O39" i="59"/>
  <c r="AA39" i="59"/>
  <c r="K39" i="59"/>
  <c r="I50" i="59"/>
  <c r="AJ51" i="59"/>
  <c r="AF51" i="59"/>
  <c r="AB51" i="59"/>
  <c r="X51" i="59"/>
  <c r="T51" i="59"/>
  <c r="P51" i="59"/>
  <c r="L51" i="59"/>
  <c r="H51" i="59"/>
  <c r="AI51" i="59"/>
  <c r="AE51" i="59"/>
  <c r="AA51" i="59"/>
  <c r="W51" i="59"/>
  <c r="S51" i="59"/>
  <c r="O51" i="59"/>
  <c r="K51" i="59"/>
  <c r="AH51" i="59"/>
  <c r="AD51" i="59"/>
  <c r="Z51" i="59"/>
  <c r="V51" i="59"/>
  <c r="R51" i="59"/>
  <c r="N51" i="59"/>
  <c r="J51" i="59"/>
  <c r="AC51" i="59"/>
  <c r="M51" i="59"/>
  <c r="Y51" i="59"/>
  <c r="I51" i="59"/>
  <c r="AK51" i="59"/>
  <c r="AJ45" i="59"/>
  <c r="AF45" i="59"/>
  <c r="AB45" i="59"/>
  <c r="X45" i="59"/>
  <c r="T45" i="59"/>
  <c r="P45" i="59"/>
  <c r="L45" i="59"/>
  <c r="H45" i="59"/>
  <c r="AI45" i="59"/>
  <c r="AE45" i="59"/>
  <c r="AA45" i="59"/>
  <c r="W45" i="59"/>
  <c r="S45" i="59"/>
  <c r="O45" i="59"/>
  <c r="K45" i="59"/>
  <c r="AH45" i="59"/>
  <c r="AD45" i="59"/>
  <c r="Z45" i="59"/>
  <c r="V45" i="59"/>
  <c r="R45" i="59"/>
  <c r="N45" i="59"/>
  <c r="J45" i="59"/>
  <c r="U45" i="59"/>
  <c r="AK45" i="59"/>
  <c r="Q47" i="59"/>
  <c r="AJ52" i="59"/>
  <c r="AF52" i="59"/>
  <c r="AB52" i="59"/>
  <c r="X52" i="59"/>
  <c r="T52" i="59"/>
  <c r="P52" i="59"/>
  <c r="L52" i="59"/>
  <c r="H52" i="59"/>
  <c r="AI52" i="59"/>
  <c r="AE52" i="59"/>
  <c r="AA52" i="59"/>
  <c r="W52" i="59"/>
  <c r="S52" i="59"/>
  <c r="O52" i="59"/>
  <c r="K52" i="59"/>
  <c r="AH52" i="59"/>
  <c r="AD52" i="59"/>
  <c r="Z52" i="59"/>
  <c r="V52" i="59"/>
  <c r="R52" i="59"/>
  <c r="N52" i="59"/>
  <c r="J52" i="59"/>
  <c r="U52" i="59"/>
  <c r="AK52" i="59"/>
  <c r="Q54" i="59"/>
  <c r="AK46" i="60"/>
  <c r="AG46" i="60"/>
  <c r="AC46" i="60"/>
  <c r="Y46" i="60"/>
  <c r="U46" i="60"/>
  <c r="Q46" i="60"/>
  <c r="M46" i="60"/>
  <c r="I46" i="60"/>
  <c r="AJ46" i="60"/>
  <c r="AF46" i="60"/>
  <c r="AB46" i="60"/>
  <c r="X46" i="60"/>
  <c r="T46" i="60"/>
  <c r="P46" i="60"/>
  <c r="L46" i="60"/>
  <c r="H46" i="60"/>
  <c r="AD46" i="60"/>
  <c r="V46" i="60"/>
  <c r="N46" i="60"/>
  <c r="AI46" i="60"/>
  <c r="AA46" i="60"/>
  <c r="S46" i="60"/>
  <c r="K46" i="60"/>
  <c r="AH46" i="60"/>
  <c r="Z46" i="60"/>
  <c r="R46" i="60"/>
  <c r="J46" i="60"/>
  <c r="I66" i="60"/>
  <c r="L66" i="60"/>
  <c r="H66" i="60"/>
  <c r="K66" i="60"/>
  <c r="J66" i="60"/>
  <c r="AJ47" i="59"/>
  <c r="AF47" i="59"/>
  <c r="AB47" i="59"/>
  <c r="X47" i="59"/>
  <c r="T47" i="59"/>
  <c r="P47" i="59"/>
  <c r="L47" i="59"/>
  <c r="H47" i="59"/>
  <c r="AI47" i="59"/>
  <c r="AE47" i="59"/>
  <c r="AA47" i="59"/>
  <c r="W47" i="59"/>
  <c r="S47" i="59"/>
  <c r="O47" i="59"/>
  <c r="K47" i="59"/>
  <c r="AH47" i="59"/>
  <c r="AD47" i="59"/>
  <c r="Z47" i="59"/>
  <c r="V47" i="59"/>
  <c r="R47" i="59"/>
  <c r="N47" i="59"/>
  <c r="J47" i="59"/>
  <c r="U47" i="59"/>
  <c r="AK47" i="59"/>
  <c r="AJ54" i="59"/>
  <c r="AF54" i="59"/>
  <c r="AB54" i="59"/>
  <c r="X54" i="59"/>
  <c r="T54" i="59"/>
  <c r="P54" i="59"/>
  <c r="L54" i="59"/>
  <c r="H54" i="59"/>
  <c r="AI54" i="59"/>
  <c r="AE54" i="59"/>
  <c r="AA54" i="59"/>
  <c r="W54" i="59"/>
  <c r="S54" i="59"/>
  <c r="O54" i="59"/>
  <c r="K54" i="59"/>
  <c r="AH54" i="59"/>
  <c r="AD54" i="59"/>
  <c r="Z54" i="59"/>
  <c r="V54" i="59"/>
  <c r="R54" i="59"/>
  <c r="N54" i="59"/>
  <c r="J54" i="59"/>
  <c r="U54" i="59"/>
  <c r="AK54" i="59"/>
  <c r="J21" i="60"/>
  <c r="I21" i="60"/>
  <c r="K21" i="60"/>
  <c r="H21" i="60"/>
  <c r="J35" i="60"/>
  <c r="I35" i="60"/>
  <c r="L35" i="60"/>
  <c r="K35" i="60"/>
  <c r="H35" i="60"/>
  <c r="O46" i="60"/>
  <c r="AK48" i="60"/>
  <c r="AG48" i="60"/>
  <c r="AC48" i="60"/>
  <c r="Y48" i="60"/>
  <c r="U48" i="60"/>
  <c r="Q48" i="60"/>
  <c r="M48" i="60"/>
  <c r="I48" i="60"/>
  <c r="AJ48" i="60"/>
  <c r="AF48" i="60"/>
  <c r="AB48" i="60"/>
  <c r="X48" i="60"/>
  <c r="T48" i="60"/>
  <c r="P48" i="60"/>
  <c r="L48" i="60"/>
  <c r="H48" i="60"/>
  <c r="AD48" i="60"/>
  <c r="V48" i="60"/>
  <c r="N48" i="60"/>
  <c r="AI48" i="60"/>
  <c r="AA48" i="60"/>
  <c r="S48" i="60"/>
  <c r="K48" i="60"/>
  <c r="AH48" i="60"/>
  <c r="Z48" i="60"/>
  <c r="R48" i="60"/>
  <c r="J48" i="60"/>
  <c r="K37" i="59"/>
  <c r="O37" i="59"/>
  <c r="S37" i="59"/>
  <c r="W37" i="59"/>
  <c r="AA37" i="59"/>
  <c r="AE37" i="59"/>
  <c r="AI37" i="59"/>
  <c r="H17" i="60"/>
  <c r="K17" i="60"/>
  <c r="J18" i="60"/>
  <c r="I18" i="60"/>
  <c r="J32" i="60"/>
  <c r="I32" i="60"/>
  <c r="J60" i="60"/>
  <c r="I60" i="60"/>
  <c r="L60" i="60"/>
  <c r="H60" i="60"/>
  <c r="K69" i="60"/>
  <c r="J69" i="60"/>
  <c r="I69" i="60"/>
  <c r="L69" i="60"/>
  <c r="H69" i="60"/>
  <c r="J35" i="59"/>
  <c r="N35" i="59"/>
  <c r="R35" i="59"/>
  <c r="V35" i="59"/>
  <c r="Z35" i="59"/>
  <c r="AD35" i="59"/>
  <c r="AH35" i="59"/>
  <c r="K36" i="59"/>
  <c r="O36" i="59"/>
  <c r="S36" i="59"/>
  <c r="W36" i="59"/>
  <c r="AA36" i="59"/>
  <c r="AE36" i="59"/>
  <c r="AI36" i="59"/>
  <c r="H37" i="59"/>
  <c r="L37" i="59"/>
  <c r="P37" i="59"/>
  <c r="T37" i="59"/>
  <c r="X37" i="59"/>
  <c r="AB37" i="59"/>
  <c r="AF37" i="59"/>
  <c r="AJ37" i="59"/>
  <c r="H14" i="60"/>
  <c r="K14" i="60"/>
  <c r="J16" i="60"/>
  <c r="I16" i="60"/>
  <c r="I17" i="60"/>
  <c r="H18" i="60"/>
  <c r="H32" i="60"/>
  <c r="K60" i="60"/>
  <c r="K35" i="59"/>
  <c r="O35" i="59"/>
  <c r="S35" i="59"/>
  <c r="W35" i="59"/>
  <c r="AA35" i="59"/>
  <c r="AE35" i="59"/>
  <c r="H36" i="59"/>
  <c r="L36" i="59"/>
  <c r="P36" i="59"/>
  <c r="T36" i="59"/>
  <c r="X36" i="59"/>
  <c r="AB36" i="59"/>
  <c r="AF36" i="59"/>
  <c r="I37" i="59"/>
  <c r="M37" i="59"/>
  <c r="Q37" i="59"/>
  <c r="U37" i="59"/>
  <c r="Y37" i="59"/>
  <c r="AC37" i="59"/>
  <c r="AG37" i="59"/>
  <c r="J12" i="60"/>
  <c r="I12" i="60"/>
  <c r="I14" i="60"/>
  <c r="H16" i="60"/>
  <c r="J17" i="60"/>
  <c r="K18" i="60"/>
  <c r="K32" i="60"/>
  <c r="J38" i="60"/>
  <c r="I38" i="60"/>
  <c r="K30" i="60"/>
  <c r="K34" i="60"/>
  <c r="K36" i="60"/>
  <c r="K62" i="60"/>
  <c r="J62" i="60"/>
  <c r="I62" i="60"/>
  <c r="H30" i="60"/>
  <c r="H34" i="60"/>
  <c r="H36" i="60"/>
  <c r="E53" i="60"/>
  <c r="F53" i="60" s="1"/>
  <c r="E51" i="60"/>
  <c r="F51" i="60" s="1"/>
  <c r="E50" i="60"/>
  <c r="F50" i="60" s="1"/>
  <c r="H62" i="60"/>
  <c r="J67" i="60"/>
  <c r="I67" i="60"/>
  <c r="L67" i="60"/>
  <c r="H67" i="60"/>
  <c r="I54" i="60"/>
  <c r="M54" i="60"/>
  <c r="Q54" i="60"/>
  <c r="U54" i="60"/>
  <c r="Y54" i="60"/>
  <c r="AC54" i="60"/>
  <c r="AG54" i="60"/>
  <c r="AK54" i="60"/>
  <c r="J65" i="60"/>
  <c r="K65" i="60"/>
  <c r="E85" i="60"/>
  <c r="F85" i="60" s="1"/>
  <c r="E83" i="60"/>
  <c r="F83" i="60" s="1"/>
  <c r="E82" i="60"/>
  <c r="F82" i="60" s="1"/>
  <c r="K54" i="60"/>
  <c r="O54" i="60"/>
  <c r="S54" i="60"/>
  <c r="W54" i="60"/>
  <c r="AA54" i="60"/>
  <c r="AE54" i="60"/>
  <c r="H65" i="60"/>
  <c r="E77" i="60"/>
  <c r="F77" i="60" s="1"/>
  <c r="E78" i="60"/>
  <c r="F78" i="60" s="1"/>
  <c r="E81" i="60"/>
  <c r="F81" i="60" s="1"/>
  <c r="K86" i="60"/>
  <c r="O86" i="60"/>
  <c r="S86" i="60"/>
  <c r="W86" i="60"/>
  <c r="AA86" i="60"/>
  <c r="AE86" i="60"/>
  <c r="AI86" i="60"/>
  <c r="H86" i="60"/>
  <c r="L86" i="60"/>
  <c r="P86" i="60"/>
  <c r="T86" i="60"/>
  <c r="X86" i="60"/>
  <c r="AB86" i="60"/>
  <c r="AF86" i="60"/>
  <c r="AJ86" i="60"/>
  <c r="I86" i="60"/>
  <c r="M86" i="60"/>
  <c r="Q86" i="60"/>
  <c r="U86" i="60"/>
  <c r="Y86" i="60"/>
  <c r="AC86" i="60"/>
  <c r="AG86" i="60"/>
  <c r="Z37" i="58" l="1"/>
  <c r="E61" i="62"/>
  <c r="E5" i="61" s="1"/>
  <c r="E7" i="61" s="1"/>
  <c r="Y26" i="61"/>
  <c r="AD26" i="58"/>
  <c r="V64" i="62"/>
  <c r="I26" i="61"/>
  <c r="N26" i="58"/>
  <c r="M64" i="59"/>
  <c r="Y61" i="62"/>
  <c r="T61" i="62"/>
  <c r="T63" i="62" s="1"/>
  <c r="H61" i="62"/>
  <c r="N64" i="62"/>
  <c r="F64" i="59"/>
  <c r="O64" i="59"/>
  <c r="Y64" i="59"/>
  <c r="E92" i="63"/>
  <c r="E94" i="63" s="1"/>
  <c r="AA64" i="62"/>
  <c r="AB64" i="62"/>
  <c r="AC64" i="62"/>
  <c r="I37" i="58"/>
  <c r="I26" i="58"/>
  <c r="D92" i="60"/>
  <c r="E95" i="60"/>
  <c r="E92" i="60"/>
  <c r="N64" i="59"/>
  <c r="AC64" i="59"/>
  <c r="I61" i="62"/>
  <c r="I63" i="62" s="1"/>
  <c r="AE61" i="62"/>
  <c r="D61" i="62"/>
  <c r="M61" i="62"/>
  <c r="M63" i="62" s="1"/>
  <c r="AE26" i="58"/>
  <c r="AE37" i="58"/>
  <c r="O26" i="58"/>
  <c r="O37" i="58"/>
  <c r="G26" i="58"/>
  <c r="G37" i="58"/>
  <c r="AB61" i="62"/>
  <c r="AG61" i="62"/>
  <c r="X61" i="62"/>
  <c r="X63" i="62" s="1"/>
  <c r="AF61" i="62"/>
  <c r="AF63" i="62" s="1"/>
  <c r="J64" i="59"/>
  <c r="J8" i="58" s="1"/>
  <c r="J9" i="58" s="1"/>
  <c r="I64" i="59"/>
  <c r="Z61" i="59"/>
  <c r="K64" i="62"/>
  <c r="L64" i="62"/>
  <c r="M64" i="62"/>
  <c r="AG37" i="61"/>
  <c r="AG26" i="61"/>
  <c r="L61" i="62"/>
  <c r="L63" i="62" s="1"/>
  <c r="AC61" i="62"/>
  <c r="AC63" i="62" s="1"/>
  <c r="W26" i="58"/>
  <c r="W37" i="58"/>
  <c r="U61" i="62"/>
  <c r="Q61" i="62"/>
  <c r="Y37" i="58"/>
  <c r="Y26" i="58"/>
  <c r="T5" i="61"/>
  <c r="T7" i="61" s="1"/>
  <c r="M5" i="61"/>
  <c r="M7" i="61" s="1"/>
  <c r="U63" i="62"/>
  <c r="U5" i="61"/>
  <c r="U7" i="61" s="1"/>
  <c r="I5" i="61"/>
  <c r="I7" i="61" s="1"/>
  <c r="AE63" i="62"/>
  <c r="AE5" i="61"/>
  <c r="AE7" i="61" s="1"/>
  <c r="Q63" i="62"/>
  <c r="Q5" i="61"/>
  <c r="Q7" i="61" s="1"/>
  <c r="N65" i="62"/>
  <c r="N8" i="61"/>
  <c r="N9" i="61" s="1"/>
  <c r="AD65" i="62"/>
  <c r="AD8" i="61"/>
  <c r="AD9" i="61" s="1"/>
  <c r="AB63" i="62"/>
  <c r="AB5" i="61"/>
  <c r="AB7" i="61" s="1"/>
  <c r="AG63" i="62"/>
  <c r="AG5" i="61"/>
  <c r="AG7" i="61" s="1"/>
  <c r="X5" i="61"/>
  <c r="X7" i="61" s="1"/>
  <c r="Y63" i="62"/>
  <c r="Y5" i="61"/>
  <c r="Y7" i="61" s="1"/>
  <c r="D63" i="62"/>
  <c r="D5" i="61"/>
  <c r="E16" i="61"/>
  <c r="V65" i="62"/>
  <c r="V8" i="61"/>
  <c r="V9" i="61" s="1"/>
  <c r="Z61" i="62"/>
  <c r="K65" i="62"/>
  <c r="K8" i="61"/>
  <c r="K9" i="61" s="1"/>
  <c r="AB65" i="62"/>
  <c r="AB8" i="61"/>
  <c r="AB9" i="61" s="1"/>
  <c r="AB26" i="61"/>
  <c r="AB37" i="61"/>
  <c r="AA37" i="61"/>
  <c r="AA26" i="61"/>
  <c r="AD37" i="61"/>
  <c r="AD26" i="61"/>
  <c r="AJ84" i="63"/>
  <c r="AF84" i="63"/>
  <c r="AB84" i="63"/>
  <c r="X84" i="63"/>
  <c r="T84" i="63"/>
  <c r="P84" i="63"/>
  <c r="L84" i="63"/>
  <c r="AI84" i="63"/>
  <c r="AE84" i="63"/>
  <c r="AA84" i="63"/>
  <c r="W84" i="63"/>
  <c r="S84" i="63"/>
  <c r="O84" i="63"/>
  <c r="AH84" i="63"/>
  <c r="AD84" i="63"/>
  <c r="Z84" i="63"/>
  <c r="V84" i="63"/>
  <c r="R84" i="63"/>
  <c r="N84" i="63"/>
  <c r="AC84" i="63"/>
  <c r="M84" i="63"/>
  <c r="Y84" i="63"/>
  <c r="AK84" i="63"/>
  <c r="U84" i="63"/>
  <c r="AG84" i="63"/>
  <c r="Q84" i="63"/>
  <c r="AI52" i="63"/>
  <c r="AE52" i="63"/>
  <c r="AA52" i="63"/>
  <c r="W52" i="63"/>
  <c r="S52" i="63"/>
  <c r="O52" i="63"/>
  <c r="K52" i="63"/>
  <c r="AH52" i="63"/>
  <c r="AD52" i="63"/>
  <c r="Z52" i="63"/>
  <c r="V52" i="63"/>
  <c r="R52" i="63"/>
  <c r="N52" i="63"/>
  <c r="J52" i="63"/>
  <c r="AK52" i="63"/>
  <c r="AG52" i="63"/>
  <c r="AC52" i="63"/>
  <c r="Y52" i="63"/>
  <c r="U52" i="63"/>
  <c r="Q52" i="63"/>
  <c r="M52" i="63"/>
  <c r="I52" i="63"/>
  <c r="X52" i="63"/>
  <c r="H52" i="63"/>
  <c r="AJ52" i="63"/>
  <c r="T52" i="63"/>
  <c r="AF52" i="63"/>
  <c r="P52" i="63"/>
  <c r="AB52" i="63"/>
  <c r="L52" i="63"/>
  <c r="Z64" i="62"/>
  <c r="O61" i="62"/>
  <c r="F64" i="62"/>
  <c r="V61" i="62"/>
  <c r="F61" i="62"/>
  <c r="O64" i="62"/>
  <c r="AE64" i="62"/>
  <c r="P64" i="62"/>
  <c r="AF64" i="62"/>
  <c r="Q64" i="62"/>
  <c r="AG64" i="62"/>
  <c r="X26" i="61"/>
  <c r="X37" i="61"/>
  <c r="H26" i="61"/>
  <c r="H37" i="61"/>
  <c r="W37" i="61"/>
  <c r="W26" i="61"/>
  <c r="G37" i="61"/>
  <c r="G26" i="61"/>
  <c r="Z37" i="61"/>
  <c r="Z26" i="61"/>
  <c r="J37" i="61"/>
  <c r="J26" i="61"/>
  <c r="AJ83" i="63"/>
  <c r="AF83" i="63"/>
  <c r="AB83" i="63"/>
  <c r="X83" i="63"/>
  <c r="T83" i="63"/>
  <c r="P83" i="63"/>
  <c r="L83" i="63"/>
  <c r="H83" i="63"/>
  <c r="AI83" i="63"/>
  <c r="AE83" i="63"/>
  <c r="AA83" i="63"/>
  <c r="W83" i="63"/>
  <c r="S83" i="63"/>
  <c r="O83" i="63"/>
  <c r="K83" i="63"/>
  <c r="AH83" i="63"/>
  <c r="AD83" i="63"/>
  <c r="Z83" i="63"/>
  <c r="V83" i="63"/>
  <c r="R83" i="63"/>
  <c r="N83" i="63"/>
  <c r="J83" i="63"/>
  <c r="Y83" i="63"/>
  <c r="I83" i="63"/>
  <c r="AK83" i="63"/>
  <c r="U83" i="63"/>
  <c r="AG83" i="63"/>
  <c r="Q83" i="63"/>
  <c r="AC83" i="63"/>
  <c r="M83" i="63"/>
  <c r="AI51" i="63"/>
  <c r="AE51" i="63"/>
  <c r="AA51" i="63"/>
  <c r="W51" i="63"/>
  <c r="S51" i="63"/>
  <c r="O51" i="63"/>
  <c r="K51" i="63"/>
  <c r="AH51" i="63"/>
  <c r="AD51" i="63"/>
  <c r="Z51" i="63"/>
  <c r="V51" i="63"/>
  <c r="R51" i="63"/>
  <c r="N51" i="63"/>
  <c r="J51" i="63"/>
  <c r="AK51" i="63"/>
  <c r="AG51" i="63"/>
  <c r="AC51" i="63"/>
  <c r="Y51" i="63"/>
  <c r="U51" i="63"/>
  <c r="Q51" i="63"/>
  <c r="M51" i="63"/>
  <c r="I51" i="63"/>
  <c r="X51" i="63"/>
  <c r="H51" i="63"/>
  <c r="AJ51" i="63"/>
  <c r="T51" i="63"/>
  <c r="AF51" i="63"/>
  <c r="P51" i="63"/>
  <c r="L51" i="63"/>
  <c r="AB51" i="63"/>
  <c r="S61" i="62"/>
  <c r="AA65" i="62"/>
  <c r="AA8" i="61"/>
  <c r="AA9" i="61" s="1"/>
  <c r="M65" i="62"/>
  <c r="M8" i="61"/>
  <c r="M9" i="61" s="1"/>
  <c r="K37" i="61"/>
  <c r="K26" i="61"/>
  <c r="C39" i="61"/>
  <c r="C28" i="61"/>
  <c r="AJ78" i="63"/>
  <c r="AF78" i="63"/>
  <c r="AB78" i="63"/>
  <c r="X78" i="63"/>
  <c r="T78" i="63"/>
  <c r="P78" i="63"/>
  <c r="L78" i="63"/>
  <c r="AI78" i="63"/>
  <c r="AE78" i="63"/>
  <c r="AA78" i="63"/>
  <c r="W78" i="63"/>
  <c r="S78" i="63"/>
  <c r="O78" i="63"/>
  <c r="K78" i="63"/>
  <c r="AH78" i="63"/>
  <c r="AD78" i="63"/>
  <c r="Z78" i="63"/>
  <c r="V78" i="63"/>
  <c r="R78" i="63"/>
  <c r="N78" i="63"/>
  <c r="J78" i="63"/>
  <c r="Y78" i="63"/>
  <c r="I78" i="63"/>
  <c r="AK78" i="63"/>
  <c r="U78" i="63"/>
  <c r="H78" i="63"/>
  <c r="AG78" i="63"/>
  <c r="Q78" i="63"/>
  <c r="AC78" i="63"/>
  <c r="M78" i="63"/>
  <c r="AJ85" i="63"/>
  <c r="AF95" i="63" s="1"/>
  <c r="AF85" i="63"/>
  <c r="AB95" i="63" s="1"/>
  <c r="AB85" i="63"/>
  <c r="X95" i="63" s="1"/>
  <c r="X85" i="63"/>
  <c r="T95" i="63" s="1"/>
  <c r="T85" i="63"/>
  <c r="P95" i="63" s="1"/>
  <c r="P85" i="63"/>
  <c r="L95" i="63" s="1"/>
  <c r="L85" i="63"/>
  <c r="H95" i="63" s="1"/>
  <c r="H85" i="63"/>
  <c r="D95" i="63" s="1"/>
  <c r="AI85" i="63"/>
  <c r="AE95" i="63" s="1"/>
  <c r="AE85" i="63"/>
  <c r="AA95" i="63" s="1"/>
  <c r="AA85" i="63"/>
  <c r="W85" i="63"/>
  <c r="S95" i="63" s="1"/>
  <c r="S85" i="63"/>
  <c r="O95" i="63" s="1"/>
  <c r="O85" i="63"/>
  <c r="K95" i="63" s="1"/>
  <c r="K85" i="63"/>
  <c r="AH85" i="63"/>
  <c r="AD95" i="63" s="1"/>
  <c r="AD85" i="63"/>
  <c r="Z95" i="63" s="1"/>
  <c r="Z85" i="63"/>
  <c r="V95" i="63" s="1"/>
  <c r="V85" i="63"/>
  <c r="R95" i="63" s="1"/>
  <c r="R85" i="63"/>
  <c r="N95" i="63" s="1"/>
  <c r="N85" i="63"/>
  <c r="J95" i="63" s="1"/>
  <c r="J85" i="63"/>
  <c r="AC85" i="63"/>
  <c r="Y95" i="63" s="1"/>
  <c r="M85" i="63"/>
  <c r="I95" i="63" s="1"/>
  <c r="Y85" i="63"/>
  <c r="U95" i="63" s="1"/>
  <c r="I85" i="63"/>
  <c r="AK85" i="63"/>
  <c r="AG95" i="63" s="1"/>
  <c r="U85" i="63"/>
  <c r="Q95" i="63" s="1"/>
  <c r="AG85" i="63"/>
  <c r="AC95" i="63" s="1"/>
  <c r="Q85" i="63"/>
  <c r="M95" i="63" s="1"/>
  <c r="AI50" i="63"/>
  <c r="AE50" i="63"/>
  <c r="AA50" i="63"/>
  <c r="W50" i="63"/>
  <c r="S50" i="63"/>
  <c r="O50" i="63"/>
  <c r="K50" i="63"/>
  <c r="AH50" i="63"/>
  <c r="AD50" i="63"/>
  <c r="Z50" i="63"/>
  <c r="V50" i="63"/>
  <c r="R50" i="63"/>
  <c r="N50" i="63"/>
  <c r="AK50" i="63"/>
  <c r="AG50" i="63"/>
  <c r="AB50" i="63"/>
  <c r="T50" i="63"/>
  <c r="L50" i="63"/>
  <c r="AJ50" i="63"/>
  <c r="Y50" i="63"/>
  <c r="Q50" i="63"/>
  <c r="J50" i="63"/>
  <c r="AF50" i="63"/>
  <c r="X50" i="63"/>
  <c r="P50" i="63"/>
  <c r="I50" i="63"/>
  <c r="H50" i="63"/>
  <c r="AC50" i="63"/>
  <c r="U50" i="63"/>
  <c r="M50" i="63"/>
  <c r="D92" i="63"/>
  <c r="F95" i="63"/>
  <c r="J64" i="62"/>
  <c r="AA61" i="62"/>
  <c r="K61" i="62"/>
  <c r="R61" i="62"/>
  <c r="R64" i="62"/>
  <c r="S64" i="62"/>
  <c r="D64" i="62"/>
  <c r="T64" i="62"/>
  <c r="E64" i="62"/>
  <c r="U64" i="62"/>
  <c r="T26" i="61"/>
  <c r="T37" i="61"/>
  <c r="S37" i="61"/>
  <c r="S26" i="61"/>
  <c r="V37" i="61"/>
  <c r="V26" i="61"/>
  <c r="F37" i="61"/>
  <c r="F26" i="61"/>
  <c r="J61" i="62"/>
  <c r="L65" i="62"/>
  <c r="L8" i="61"/>
  <c r="L9" i="61" s="1"/>
  <c r="AC65" i="62"/>
  <c r="AC8" i="61"/>
  <c r="AC9" i="61" s="1"/>
  <c r="L26" i="61"/>
  <c r="L37" i="61"/>
  <c r="H63" i="62"/>
  <c r="H5" i="61"/>
  <c r="H7" i="61" s="1"/>
  <c r="N37" i="61"/>
  <c r="N26" i="61"/>
  <c r="W95" i="63"/>
  <c r="AJ82" i="63"/>
  <c r="AF82" i="63"/>
  <c r="AB82" i="63"/>
  <c r="X82" i="63"/>
  <c r="T82" i="63"/>
  <c r="P82" i="63"/>
  <c r="L82" i="63"/>
  <c r="H82" i="63"/>
  <c r="AI82" i="63"/>
  <c r="AE82" i="63"/>
  <c r="AA82" i="63"/>
  <c r="W82" i="63"/>
  <c r="S82" i="63"/>
  <c r="O82" i="63"/>
  <c r="K82" i="63"/>
  <c r="AH82" i="63"/>
  <c r="AD82" i="63"/>
  <c r="Z82" i="63"/>
  <c r="V82" i="63"/>
  <c r="R82" i="63"/>
  <c r="N82" i="63"/>
  <c r="J82" i="63"/>
  <c r="Y82" i="63"/>
  <c r="I82" i="63"/>
  <c r="AK82" i="63"/>
  <c r="U82" i="63"/>
  <c r="AG82" i="63"/>
  <c r="Q82" i="63"/>
  <c r="AC82" i="63"/>
  <c r="M82" i="63"/>
  <c r="AI48" i="63"/>
  <c r="AE48" i="63"/>
  <c r="AA48" i="63"/>
  <c r="W48" i="63"/>
  <c r="S48" i="63"/>
  <c r="O48" i="63"/>
  <c r="K48" i="63"/>
  <c r="AG48" i="63"/>
  <c r="AB48" i="63"/>
  <c r="V48" i="63"/>
  <c r="Q48" i="63"/>
  <c r="L48" i="63"/>
  <c r="AK48" i="63"/>
  <c r="AF48" i="63"/>
  <c r="Z48" i="63"/>
  <c r="U48" i="63"/>
  <c r="P48" i="63"/>
  <c r="J48" i="63"/>
  <c r="AJ48" i="63"/>
  <c r="AD48" i="63"/>
  <c r="Y48" i="63"/>
  <c r="T48" i="63"/>
  <c r="N48" i="63"/>
  <c r="I48" i="63"/>
  <c r="R48" i="63"/>
  <c r="AH48" i="63"/>
  <c r="M48" i="63"/>
  <c r="AC48" i="63"/>
  <c r="H48" i="63"/>
  <c r="X48" i="63"/>
  <c r="AI46" i="63"/>
  <c r="AE46" i="63"/>
  <c r="AA46" i="63"/>
  <c r="W46" i="63"/>
  <c r="S46" i="63"/>
  <c r="O46" i="63"/>
  <c r="K46" i="63"/>
  <c r="AG46" i="63"/>
  <c r="AB46" i="63"/>
  <c r="V46" i="63"/>
  <c r="Q46" i="63"/>
  <c r="L46" i="63"/>
  <c r="AK46" i="63"/>
  <c r="AF46" i="63"/>
  <c r="Z46" i="63"/>
  <c r="U46" i="63"/>
  <c r="Q92" i="63" s="1"/>
  <c r="P46" i="63"/>
  <c r="J46" i="63"/>
  <c r="AJ46" i="63"/>
  <c r="AD46" i="63"/>
  <c r="Y46" i="63"/>
  <c r="T46" i="63"/>
  <c r="N46" i="63"/>
  <c r="I46" i="63"/>
  <c r="AC46" i="63"/>
  <c r="H46" i="63"/>
  <c r="X46" i="63"/>
  <c r="R46" i="63"/>
  <c r="AH46" i="63"/>
  <c r="M46" i="63"/>
  <c r="E95" i="63"/>
  <c r="G95" i="63"/>
  <c r="W61" i="62"/>
  <c r="G61" i="62"/>
  <c r="AD61" i="62"/>
  <c r="N61" i="62"/>
  <c r="G64" i="62"/>
  <c r="W64" i="62"/>
  <c r="H64" i="62"/>
  <c r="X64" i="62"/>
  <c r="I64" i="62"/>
  <c r="Y64" i="62"/>
  <c r="AF26" i="61"/>
  <c r="AF37" i="61"/>
  <c r="P26" i="61"/>
  <c r="P37" i="61"/>
  <c r="AE37" i="61"/>
  <c r="AE26" i="61"/>
  <c r="O37" i="61"/>
  <c r="O26" i="61"/>
  <c r="R37" i="61"/>
  <c r="R26" i="61"/>
  <c r="P61" i="62"/>
  <c r="Z63" i="59"/>
  <c r="Z5" i="58"/>
  <c r="Z7" i="58" s="1"/>
  <c r="D94" i="60"/>
  <c r="D16" i="58"/>
  <c r="AJ83" i="60"/>
  <c r="AF83" i="60"/>
  <c r="AB83" i="60"/>
  <c r="X83" i="60"/>
  <c r="T83" i="60"/>
  <c r="P83" i="60"/>
  <c r="L83" i="60"/>
  <c r="H83" i="60"/>
  <c r="AI83" i="60"/>
  <c r="AE83" i="60"/>
  <c r="AA83" i="60"/>
  <c r="W83" i="60"/>
  <c r="S83" i="60"/>
  <c r="O83" i="60"/>
  <c r="K83" i="60"/>
  <c r="AH83" i="60"/>
  <c r="AD83" i="60"/>
  <c r="Z83" i="60"/>
  <c r="V83" i="60"/>
  <c r="R83" i="60"/>
  <c r="N83" i="60"/>
  <c r="J83" i="60"/>
  <c r="AG83" i="60"/>
  <c r="Q83" i="60"/>
  <c r="AC83" i="60"/>
  <c r="M83" i="60"/>
  <c r="Y83" i="60"/>
  <c r="I83" i="60"/>
  <c r="AK83" i="60"/>
  <c r="U83" i="60"/>
  <c r="AF37" i="58"/>
  <c r="AF26" i="58"/>
  <c r="J61" i="59"/>
  <c r="J65" i="59"/>
  <c r="H64" i="59"/>
  <c r="I65" i="59"/>
  <c r="I8" i="58"/>
  <c r="I9" i="58" s="1"/>
  <c r="AD61" i="59"/>
  <c r="X61" i="59"/>
  <c r="Y61" i="59"/>
  <c r="AJ81" i="60"/>
  <c r="AF81" i="60"/>
  <c r="AB81" i="60"/>
  <c r="X81" i="60"/>
  <c r="T81" i="60"/>
  <c r="P81" i="60"/>
  <c r="L81" i="60"/>
  <c r="H81" i="60"/>
  <c r="AI81" i="60"/>
  <c r="AE81" i="60"/>
  <c r="AA81" i="60"/>
  <c r="W81" i="60"/>
  <c r="S81" i="60"/>
  <c r="O81" i="60"/>
  <c r="K81" i="60"/>
  <c r="AH81" i="60"/>
  <c r="AD81" i="60"/>
  <c r="AG81" i="60"/>
  <c r="V81" i="60"/>
  <c r="N81" i="60"/>
  <c r="AC81" i="60"/>
  <c r="U81" i="60"/>
  <c r="M81" i="60"/>
  <c r="Z81" i="60"/>
  <c r="R81" i="60"/>
  <c r="J81" i="60"/>
  <c r="I81" i="60"/>
  <c r="AK81" i="60"/>
  <c r="Y81" i="60"/>
  <c r="Q81" i="60"/>
  <c r="AH50" i="60"/>
  <c r="AD50" i="60"/>
  <c r="Z50" i="60"/>
  <c r="V50" i="60"/>
  <c r="R50" i="60"/>
  <c r="N50" i="60"/>
  <c r="J50" i="60"/>
  <c r="AJ50" i="60"/>
  <c r="AF50" i="60"/>
  <c r="AB50" i="60"/>
  <c r="X50" i="60"/>
  <c r="T50" i="60"/>
  <c r="P50" i="60"/>
  <c r="L50" i="60"/>
  <c r="H50" i="60"/>
  <c r="AK50" i="60"/>
  <c r="AC50" i="60"/>
  <c r="Y92" i="60" s="1"/>
  <c r="U50" i="60"/>
  <c r="M50" i="60"/>
  <c r="AI50" i="60"/>
  <c r="AA50" i="60"/>
  <c r="S50" i="60"/>
  <c r="K50" i="60"/>
  <c r="AE50" i="60"/>
  <c r="O50" i="60"/>
  <c r="Y50" i="60"/>
  <c r="I50" i="60"/>
  <c r="W50" i="60"/>
  <c r="Q50" i="60"/>
  <c r="AG50" i="60"/>
  <c r="L37" i="58"/>
  <c r="L26" i="58"/>
  <c r="N65" i="59"/>
  <c r="N8" i="58"/>
  <c r="N9" i="58" s="1"/>
  <c r="L64" i="59"/>
  <c r="M65" i="59"/>
  <c r="M8" i="58"/>
  <c r="M9" i="58" s="1"/>
  <c r="F61" i="59"/>
  <c r="W61" i="59"/>
  <c r="M61" i="59"/>
  <c r="X37" i="58"/>
  <c r="X26" i="58"/>
  <c r="H37" i="58"/>
  <c r="H26" i="58"/>
  <c r="Z64" i="59"/>
  <c r="V64" i="59"/>
  <c r="AA64" i="59"/>
  <c r="AE64" i="59"/>
  <c r="P64" i="59"/>
  <c r="AF64" i="59"/>
  <c r="Q64" i="59"/>
  <c r="AG64" i="59"/>
  <c r="N61" i="59"/>
  <c r="S61" i="59"/>
  <c r="AE61" i="59"/>
  <c r="P61" i="59"/>
  <c r="AF61" i="59"/>
  <c r="Q61" i="59"/>
  <c r="AG61" i="59"/>
  <c r="E94" i="60"/>
  <c r="E16" i="58"/>
  <c r="E96" i="60"/>
  <c r="E19" i="58"/>
  <c r="P37" i="58"/>
  <c r="P26" i="58"/>
  <c r="F65" i="59"/>
  <c r="F8" i="58"/>
  <c r="F9" i="58" s="1"/>
  <c r="O65" i="59"/>
  <c r="O8" i="58"/>
  <c r="O9" i="58" s="1"/>
  <c r="X64" i="59"/>
  <c r="Y65" i="59"/>
  <c r="Y8" i="58"/>
  <c r="Y9" i="58" s="1"/>
  <c r="AA61" i="59"/>
  <c r="O61" i="59"/>
  <c r="H61" i="59"/>
  <c r="I61" i="59"/>
  <c r="AJ85" i="60"/>
  <c r="AF85" i="60"/>
  <c r="AB85" i="60"/>
  <c r="X85" i="60"/>
  <c r="T85" i="60"/>
  <c r="P85" i="60"/>
  <c r="L85" i="60"/>
  <c r="H85" i="60"/>
  <c r="AI85" i="60"/>
  <c r="AE85" i="60"/>
  <c r="AA85" i="60"/>
  <c r="W85" i="60"/>
  <c r="S85" i="60"/>
  <c r="O85" i="60"/>
  <c r="K85" i="60"/>
  <c r="AH85" i="60"/>
  <c r="AD85" i="60"/>
  <c r="Z85" i="60"/>
  <c r="V85" i="60"/>
  <c r="R85" i="60"/>
  <c r="N85" i="60"/>
  <c r="J85" i="60"/>
  <c r="AG85" i="60"/>
  <c r="Q85" i="60"/>
  <c r="AC85" i="60"/>
  <c r="M85" i="60"/>
  <c r="Y85" i="60"/>
  <c r="I85" i="60"/>
  <c r="U85" i="60"/>
  <c r="AK85" i="60"/>
  <c r="AB37" i="58"/>
  <c r="AB26" i="58"/>
  <c r="R61" i="59"/>
  <c r="R64" i="59"/>
  <c r="K64" i="59"/>
  <c r="W64" i="59"/>
  <c r="AB64" i="59"/>
  <c r="AC65" i="59"/>
  <c r="AC8" i="58"/>
  <c r="AC9" i="58" s="1"/>
  <c r="K61" i="59"/>
  <c r="L61" i="59"/>
  <c r="AB61" i="59"/>
  <c r="AC61" i="59"/>
  <c r="AJ78" i="60"/>
  <c r="AF78" i="60"/>
  <c r="AB78" i="60"/>
  <c r="X78" i="60"/>
  <c r="T78" i="60"/>
  <c r="P78" i="60"/>
  <c r="AI78" i="60"/>
  <c r="AE78" i="60"/>
  <c r="AA78" i="60"/>
  <c r="W78" i="60"/>
  <c r="S78" i="60"/>
  <c r="O78" i="60"/>
  <c r="AD78" i="60"/>
  <c r="V78" i="60"/>
  <c r="N78" i="60"/>
  <c r="J78" i="60"/>
  <c r="AK78" i="60"/>
  <c r="AC78" i="60"/>
  <c r="U78" i="60"/>
  <c r="M78" i="60"/>
  <c r="I78" i="60"/>
  <c r="AH78" i="60"/>
  <c r="Z78" i="60"/>
  <c r="R78" i="60"/>
  <c r="L78" i="60"/>
  <c r="H78" i="60"/>
  <c r="K78" i="60"/>
  <c r="AG78" i="60"/>
  <c r="Y78" i="60"/>
  <c r="Q78" i="60"/>
  <c r="AH51" i="60"/>
  <c r="AD51" i="60"/>
  <c r="Z51" i="60"/>
  <c r="V51" i="60"/>
  <c r="R51" i="60"/>
  <c r="N51" i="60"/>
  <c r="J51" i="60"/>
  <c r="F92" i="60" s="1"/>
  <c r="AJ51" i="60"/>
  <c r="AF51" i="60"/>
  <c r="AB51" i="60"/>
  <c r="X51" i="60"/>
  <c r="T51" i="60"/>
  <c r="P51" i="60"/>
  <c r="L51" i="60"/>
  <c r="H51" i="60"/>
  <c r="AK51" i="60"/>
  <c r="AC51" i="60"/>
  <c r="U51" i="60"/>
  <c r="M51" i="60"/>
  <c r="AI51" i="60"/>
  <c r="AA51" i="60"/>
  <c r="S51" i="60"/>
  <c r="K51" i="60"/>
  <c r="AE51" i="60"/>
  <c r="O51" i="60"/>
  <c r="Y51" i="60"/>
  <c r="I51" i="60"/>
  <c r="W51" i="60"/>
  <c r="AG51" i="60"/>
  <c r="Q51" i="60"/>
  <c r="D95" i="60"/>
  <c r="AH77" i="60"/>
  <c r="AD77" i="60"/>
  <c r="Z77" i="60"/>
  <c r="V77" i="60"/>
  <c r="R77" i="60"/>
  <c r="N77" i="60"/>
  <c r="J77" i="60"/>
  <c r="AK77" i="60"/>
  <c r="AG77" i="60"/>
  <c r="AC77" i="60"/>
  <c r="Y77" i="60"/>
  <c r="U77" i="60"/>
  <c r="Q77" i="60"/>
  <c r="M77" i="60"/>
  <c r="I77" i="60"/>
  <c r="AJ77" i="60"/>
  <c r="AF77" i="60"/>
  <c r="AB77" i="60"/>
  <c r="X77" i="60"/>
  <c r="T77" i="60"/>
  <c r="P77" i="60"/>
  <c r="L77" i="60"/>
  <c r="H77" i="60"/>
  <c r="AA77" i="60"/>
  <c r="K77" i="60"/>
  <c r="W77" i="60"/>
  <c r="AI77" i="60"/>
  <c r="AE77" i="60"/>
  <c r="S77" i="60"/>
  <c r="O77" i="60"/>
  <c r="AJ82" i="60"/>
  <c r="AF82" i="60"/>
  <c r="AB82" i="60"/>
  <c r="X82" i="60"/>
  <c r="T82" i="60"/>
  <c r="P82" i="60"/>
  <c r="L82" i="60"/>
  <c r="H82" i="60"/>
  <c r="AI82" i="60"/>
  <c r="AE82" i="60"/>
  <c r="AA82" i="60"/>
  <c r="W82" i="60"/>
  <c r="S82" i="60"/>
  <c r="O82" i="60"/>
  <c r="K82" i="60"/>
  <c r="AH82" i="60"/>
  <c r="AD82" i="60"/>
  <c r="Z82" i="60"/>
  <c r="V82" i="60"/>
  <c r="R82" i="60"/>
  <c r="N82" i="60"/>
  <c r="J82" i="60"/>
  <c r="AG82" i="60"/>
  <c r="Q82" i="60"/>
  <c r="AC82" i="60"/>
  <c r="M82" i="60"/>
  <c r="Y82" i="60"/>
  <c r="I82" i="60"/>
  <c r="U82" i="60"/>
  <c r="AK82" i="60"/>
  <c r="AH53" i="60"/>
  <c r="AD53" i="60"/>
  <c r="Z53" i="60"/>
  <c r="V53" i="60"/>
  <c r="R53" i="60"/>
  <c r="N53" i="60"/>
  <c r="J53" i="60"/>
  <c r="F95" i="60" s="1"/>
  <c r="AJ53" i="60"/>
  <c r="AF53" i="60"/>
  <c r="AB53" i="60"/>
  <c r="X53" i="60"/>
  <c r="T95" i="60" s="1"/>
  <c r="T53" i="60"/>
  <c r="P53" i="60"/>
  <c r="L53" i="60"/>
  <c r="H53" i="60"/>
  <c r="AK53" i="60"/>
  <c r="AG95" i="60" s="1"/>
  <c r="AC53" i="60"/>
  <c r="U53" i="60"/>
  <c r="M53" i="60"/>
  <c r="AI53" i="60"/>
  <c r="AA53" i="60"/>
  <c r="S53" i="60"/>
  <c r="K53" i="60"/>
  <c r="AE53" i="60"/>
  <c r="O53" i="60"/>
  <c r="Y53" i="60"/>
  <c r="I53" i="60"/>
  <c r="W53" i="60"/>
  <c r="Q53" i="60"/>
  <c r="AG53" i="60"/>
  <c r="G95" i="60"/>
  <c r="T37" i="58"/>
  <c r="T26" i="58"/>
  <c r="S64" i="59"/>
  <c r="AD64" i="59"/>
  <c r="G64" i="59"/>
  <c r="D64" i="59"/>
  <c r="T64" i="59"/>
  <c r="E64" i="59"/>
  <c r="U64" i="59"/>
  <c r="V61" i="59"/>
  <c r="G61" i="59"/>
  <c r="D61" i="59"/>
  <c r="T61" i="59"/>
  <c r="E61" i="59"/>
  <c r="U61" i="59"/>
  <c r="J92" i="60" l="1"/>
  <c r="E63" i="62"/>
  <c r="Q95" i="60"/>
  <c r="Q19" i="58" s="1"/>
  <c r="N92" i="60"/>
  <c r="S92" i="60"/>
  <c r="F92" i="63"/>
  <c r="AC5" i="61"/>
  <c r="AC7" i="61" s="1"/>
  <c r="AC10" i="61" s="1"/>
  <c r="AD92" i="60"/>
  <c r="Q92" i="60"/>
  <c r="L92" i="60"/>
  <c r="G92" i="63"/>
  <c r="G94" i="63" s="1"/>
  <c r="J95" i="60"/>
  <c r="O95" i="60"/>
  <c r="S95" i="60"/>
  <c r="AE95" i="60"/>
  <c r="P95" i="60"/>
  <c r="P96" i="60" s="1"/>
  <c r="R95" i="60"/>
  <c r="AB92" i="60"/>
  <c r="W92" i="60"/>
  <c r="W16" i="58" s="1"/>
  <c r="M92" i="60"/>
  <c r="G92" i="60"/>
  <c r="Z95" i="60"/>
  <c r="L5" i="61"/>
  <c r="L7" i="61" s="1"/>
  <c r="L10" i="61" s="1"/>
  <c r="U92" i="60"/>
  <c r="M95" i="60"/>
  <c r="N95" i="60"/>
  <c r="AC92" i="63"/>
  <c r="AC94" i="63" s="1"/>
  <c r="C61" i="62"/>
  <c r="I95" i="60"/>
  <c r="V95" i="60"/>
  <c r="K92" i="60"/>
  <c r="O92" i="60"/>
  <c r="O16" i="58" s="1"/>
  <c r="AD95" i="60"/>
  <c r="AC66" i="62"/>
  <c r="AF5" i="61"/>
  <c r="AF7" i="61" s="1"/>
  <c r="AA92" i="60"/>
  <c r="AG92" i="60"/>
  <c r="AF92" i="60"/>
  <c r="AC92" i="60"/>
  <c r="J92" i="63"/>
  <c r="J16" i="61" s="1"/>
  <c r="Y95" i="60"/>
  <c r="AA95" i="60"/>
  <c r="AA96" i="60" s="1"/>
  <c r="AF95" i="60"/>
  <c r="AF96" i="60" s="1"/>
  <c r="I92" i="60"/>
  <c r="V92" i="60"/>
  <c r="AE92" i="60"/>
  <c r="P92" i="60"/>
  <c r="R92" i="60"/>
  <c r="R16" i="58" s="1"/>
  <c r="X92" i="60"/>
  <c r="Z92" i="60"/>
  <c r="Z16" i="58" s="1"/>
  <c r="T92" i="60"/>
  <c r="T94" i="60" s="1"/>
  <c r="N92" i="63"/>
  <c r="Z92" i="63"/>
  <c r="H92" i="63"/>
  <c r="S92" i="63"/>
  <c r="S16" i="61" s="1"/>
  <c r="D96" i="63"/>
  <c r="D19" i="61"/>
  <c r="F94" i="63"/>
  <c r="F16" i="61"/>
  <c r="H96" i="63"/>
  <c r="H19" i="61"/>
  <c r="X96" i="63"/>
  <c r="X19" i="61"/>
  <c r="AD96" i="63"/>
  <c r="AD19" i="61"/>
  <c r="T96" i="63"/>
  <c r="T19" i="61"/>
  <c r="V96" i="63"/>
  <c r="V19" i="61"/>
  <c r="K96" i="63"/>
  <c r="K19" i="61"/>
  <c r="AB96" i="63"/>
  <c r="AB19" i="61"/>
  <c r="N96" i="63"/>
  <c r="N19" i="61"/>
  <c r="S96" i="63"/>
  <c r="S19" i="61"/>
  <c r="H94" i="63"/>
  <c r="H97" i="63" s="1"/>
  <c r="H16" i="61"/>
  <c r="O96" i="63"/>
  <c r="O19" i="61"/>
  <c r="AE96" i="63"/>
  <c r="AE19" i="61"/>
  <c r="N94" i="63"/>
  <c r="N16" i="61"/>
  <c r="AA63" i="62"/>
  <c r="AA66" i="62" s="1"/>
  <c r="AA5" i="61"/>
  <c r="AA7" i="61" s="1"/>
  <c r="AA10" i="61" s="1"/>
  <c r="I96" i="63"/>
  <c r="I19" i="61"/>
  <c r="P96" i="63"/>
  <c r="P19" i="61"/>
  <c r="J94" i="63"/>
  <c r="M92" i="63"/>
  <c r="R65" i="62"/>
  <c r="R8" i="61"/>
  <c r="R9" i="61" s="1"/>
  <c r="Y96" i="63"/>
  <c r="Y19" i="61"/>
  <c r="AE65" i="62"/>
  <c r="AE66" i="62" s="1"/>
  <c r="AE8" i="61"/>
  <c r="AE9" i="61" s="1"/>
  <c r="AE10" i="61" s="1"/>
  <c r="Z96" i="63"/>
  <c r="Z19" i="61"/>
  <c r="L66" i="62"/>
  <c r="N63" i="62"/>
  <c r="N66" i="62" s="1"/>
  <c r="N5" i="61"/>
  <c r="N7" i="61" s="1"/>
  <c r="N10" i="61" s="1"/>
  <c r="Z94" i="63"/>
  <c r="Z16" i="61"/>
  <c r="S94" i="63"/>
  <c r="S97" i="63" s="1"/>
  <c r="S65" i="62"/>
  <c r="S8" i="61"/>
  <c r="S9" i="61" s="1"/>
  <c r="AA96" i="63"/>
  <c r="AA19" i="61"/>
  <c r="V63" i="62"/>
  <c r="V66" i="62" s="1"/>
  <c r="V5" i="61"/>
  <c r="V7" i="61" s="1"/>
  <c r="V10" i="61" s="1"/>
  <c r="AB66" i="62"/>
  <c r="H65" i="62"/>
  <c r="H66" i="62" s="1"/>
  <c r="H8" i="61"/>
  <c r="H9" i="61" s="1"/>
  <c r="H10" i="61" s="1"/>
  <c r="E96" i="63"/>
  <c r="E97" i="63" s="1"/>
  <c r="E19" i="61"/>
  <c r="T92" i="63"/>
  <c r="V92" i="63"/>
  <c r="W96" i="63"/>
  <c r="W19" i="61"/>
  <c r="J65" i="62"/>
  <c r="J8" i="61"/>
  <c r="J9" i="61" s="1"/>
  <c r="AG96" i="63"/>
  <c r="AG19" i="61"/>
  <c r="AG65" i="62"/>
  <c r="AG8" i="61"/>
  <c r="AG9" i="61" s="1"/>
  <c r="AG10" i="61" s="1"/>
  <c r="Y65" i="62"/>
  <c r="Y66" i="62" s="1"/>
  <c r="Y8" i="61"/>
  <c r="Y9" i="61" s="1"/>
  <c r="Y10" i="61" s="1"/>
  <c r="G63" i="62"/>
  <c r="G5" i="61"/>
  <c r="G7" i="61" s="1"/>
  <c r="P92" i="63"/>
  <c r="AB92" i="63"/>
  <c r="R92" i="63"/>
  <c r="K92" i="63"/>
  <c r="AA92" i="63"/>
  <c r="T65" i="62"/>
  <c r="T8" i="61"/>
  <c r="T9" i="61" s="1"/>
  <c r="T10" i="61" s="1"/>
  <c r="R63" i="62"/>
  <c r="R5" i="61"/>
  <c r="R7" i="61" s="1"/>
  <c r="R10" i="61" s="1"/>
  <c r="F96" i="63"/>
  <c r="F19" i="61"/>
  <c r="M96" i="63"/>
  <c r="M19" i="61"/>
  <c r="Q65" i="62"/>
  <c r="Q66" i="62" s="1"/>
  <c r="Q8" i="61"/>
  <c r="Q9" i="61" s="1"/>
  <c r="Q10" i="61" s="1"/>
  <c r="O65" i="62"/>
  <c r="O8" i="61"/>
  <c r="O9" i="61" s="1"/>
  <c r="O63" i="62"/>
  <c r="O5" i="61"/>
  <c r="O7" i="61" s="1"/>
  <c r="E27" i="61"/>
  <c r="E38" i="61" s="1"/>
  <c r="E18" i="61"/>
  <c r="AG66" i="62"/>
  <c r="M10" i="61"/>
  <c r="X65" i="62"/>
  <c r="X66" i="62" s="1"/>
  <c r="X8" i="61"/>
  <c r="X9" i="61" s="1"/>
  <c r="X10" i="61" s="1"/>
  <c r="G96" i="63"/>
  <c r="G19" i="61"/>
  <c r="Q94" i="63"/>
  <c r="Q16" i="61"/>
  <c r="R96" i="63"/>
  <c r="R19" i="61"/>
  <c r="U65" i="62"/>
  <c r="U66" i="62" s="1"/>
  <c r="U8" i="61"/>
  <c r="U9" i="61" s="1"/>
  <c r="U10" i="61" s="1"/>
  <c r="Q96" i="63"/>
  <c r="Q19" i="61"/>
  <c r="P8" i="61"/>
  <c r="P9" i="61" s="1"/>
  <c r="P65" i="62"/>
  <c r="D7" i="61"/>
  <c r="AD63" i="62"/>
  <c r="AD66" i="62" s="1"/>
  <c r="AD5" i="61"/>
  <c r="AD7" i="61" s="1"/>
  <c r="AD10" i="61" s="1"/>
  <c r="AF92" i="63"/>
  <c r="W92" i="63"/>
  <c r="J63" i="62"/>
  <c r="J5" i="61"/>
  <c r="J7" i="61" s="1"/>
  <c r="E65" i="62"/>
  <c r="E8" i="61"/>
  <c r="E9" i="61" s="1"/>
  <c r="E10" i="61" s="1"/>
  <c r="L96" i="63"/>
  <c r="L19" i="61"/>
  <c r="F65" i="62"/>
  <c r="F8" i="61"/>
  <c r="F9" i="61" s="1"/>
  <c r="W65" i="62"/>
  <c r="W8" i="61"/>
  <c r="W9" i="61" s="1"/>
  <c r="I92" i="63"/>
  <c r="P63" i="62"/>
  <c r="P66" i="62" s="1"/>
  <c r="P5" i="61"/>
  <c r="P7" i="61" s="1"/>
  <c r="I65" i="62"/>
  <c r="I66" i="62" s="1"/>
  <c r="I8" i="61"/>
  <c r="I9" i="61" s="1"/>
  <c r="I10" i="61" s="1"/>
  <c r="G65" i="62"/>
  <c r="G8" i="61"/>
  <c r="G9" i="61" s="1"/>
  <c r="W63" i="62"/>
  <c r="W5" i="61"/>
  <c r="W7" i="61" s="1"/>
  <c r="AD92" i="63"/>
  <c r="Y92" i="63"/>
  <c r="U92" i="63"/>
  <c r="L92" i="63"/>
  <c r="AG92" i="63"/>
  <c r="X92" i="63"/>
  <c r="O92" i="63"/>
  <c r="AE92" i="63"/>
  <c r="D65" i="62"/>
  <c r="D8" i="61"/>
  <c r="K63" i="62"/>
  <c r="K66" i="62" s="1"/>
  <c r="K5" i="61"/>
  <c r="K7" i="61" s="1"/>
  <c r="K10" i="61" s="1"/>
  <c r="D94" i="63"/>
  <c r="D16" i="61"/>
  <c r="AC96" i="63"/>
  <c r="AC19" i="61"/>
  <c r="U96" i="63"/>
  <c r="U19" i="61"/>
  <c r="J96" i="63"/>
  <c r="J19" i="61"/>
  <c r="AF96" i="63"/>
  <c r="AF19" i="61"/>
  <c r="S63" i="62"/>
  <c r="S5" i="61"/>
  <c r="S7" i="61" s="1"/>
  <c r="AF65" i="62"/>
  <c r="AF66" i="62" s="1"/>
  <c r="AF8" i="61"/>
  <c r="AF9" i="61" s="1"/>
  <c r="F63" i="62"/>
  <c r="F5" i="61"/>
  <c r="F7" i="61" s="1"/>
  <c r="F10" i="61" s="1"/>
  <c r="Z65" i="62"/>
  <c r="Z8" i="61"/>
  <c r="Z9" i="61" s="1"/>
  <c r="Z63" i="62"/>
  <c r="Z5" i="61"/>
  <c r="Z7" i="61" s="1"/>
  <c r="AB10" i="61"/>
  <c r="M66" i="62"/>
  <c r="T66" i="62"/>
  <c r="F94" i="60"/>
  <c r="F16" i="58"/>
  <c r="AA94" i="60"/>
  <c r="AA16" i="58"/>
  <c r="P94" i="60"/>
  <c r="P16" i="58"/>
  <c r="L94" i="60"/>
  <c r="L16" i="58"/>
  <c r="J94" i="60"/>
  <c r="J16" i="58"/>
  <c r="G94" i="60"/>
  <c r="G16" i="58"/>
  <c r="O94" i="60"/>
  <c r="AB94" i="60"/>
  <c r="AB16" i="58"/>
  <c r="I94" i="60"/>
  <c r="I16" i="58"/>
  <c r="V94" i="60"/>
  <c r="V16" i="58"/>
  <c r="AE94" i="60"/>
  <c r="AE16" i="58"/>
  <c r="AG94" i="60"/>
  <c r="AG16" i="58"/>
  <c r="AF94" i="60"/>
  <c r="AF16" i="58"/>
  <c r="M94" i="60"/>
  <c r="M16" i="58"/>
  <c r="X94" i="60"/>
  <c r="X16" i="58"/>
  <c r="Z94" i="60"/>
  <c r="K94" i="60"/>
  <c r="K16" i="58"/>
  <c r="AC94" i="60"/>
  <c r="AC16" i="58"/>
  <c r="U94" i="60"/>
  <c r="U16" i="58"/>
  <c r="U65" i="59"/>
  <c r="U8" i="58"/>
  <c r="U9" i="58" s="1"/>
  <c r="Q94" i="60"/>
  <c r="Q16" i="58"/>
  <c r="S96" i="60"/>
  <c r="S19" i="58"/>
  <c r="AG96" i="60"/>
  <c r="AG19" i="58"/>
  <c r="D96" i="60"/>
  <c r="D19" i="58"/>
  <c r="W65" i="59"/>
  <c r="W8" i="58"/>
  <c r="W9" i="58" s="1"/>
  <c r="F96" i="60"/>
  <c r="F19" i="58"/>
  <c r="H63" i="59"/>
  <c r="H5" i="58"/>
  <c r="H7" i="58" s="1"/>
  <c r="S63" i="59"/>
  <c r="S5" i="58"/>
  <c r="S7" i="58" s="1"/>
  <c r="V65" i="59"/>
  <c r="V8" i="58"/>
  <c r="V9" i="58" s="1"/>
  <c r="AD94" i="60"/>
  <c r="AD16" i="58"/>
  <c r="E65" i="59"/>
  <c r="E8" i="58"/>
  <c r="E9" i="58" s="1"/>
  <c r="G96" i="60"/>
  <c r="G19" i="58"/>
  <c r="T96" i="60"/>
  <c r="T19" i="58"/>
  <c r="X65" i="59"/>
  <c r="X8" i="58"/>
  <c r="X9" i="58" s="1"/>
  <c r="AF63" i="59"/>
  <c r="AF5" i="58"/>
  <c r="AF7" i="58" s="1"/>
  <c r="Z65" i="59"/>
  <c r="Z66" i="59" s="1"/>
  <c r="Z8" i="58"/>
  <c r="Z9" i="58" s="1"/>
  <c r="Z10" i="58" s="1"/>
  <c r="D18" i="58"/>
  <c r="U63" i="59"/>
  <c r="U5" i="58"/>
  <c r="U7" i="58" s="1"/>
  <c r="U10" i="58" s="1"/>
  <c r="T65" i="59"/>
  <c r="T8" i="58"/>
  <c r="T9" i="58" s="1"/>
  <c r="U95" i="60"/>
  <c r="H95" i="60"/>
  <c r="Z96" i="60"/>
  <c r="Z19" i="58"/>
  <c r="AB63" i="59"/>
  <c r="AB5" i="58"/>
  <c r="AB7" i="58" s="1"/>
  <c r="R65" i="59"/>
  <c r="R8" i="58"/>
  <c r="R9" i="58" s="1"/>
  <c r="AA63" i="59"/>
  <c r="AA5" i="58"/>
  <c r="AA7" i="58" s="1"/>
  <c r="E97" i="60"/>
  <c r="P63" i="59"/>
  <c r="P66" i="59" s="1"/>
  <c r="P5" i="58"/>
  <c r="P7" i="58" s="1"/>
  <c r="AG65" i="59"/>
  <c r="AG8" i="58"/>
  <c r="AG9" i="58" s="1"/>
  <c r="AE65" i="59"/>
  <c r="AE8" i="58"/>
  <c r="AE9" i="58" s="1"/>
  <c r="W63" i="59"/>
  <c r="W5" i="58"/>
  <c r="W7" i="58" s="1"/>
  <c r="W10" i="58" s="1"/>
  <c r="L65" i="59"/>
  <c r="L8" i="58"/>
  <c r="L9" i="58" s="1"/>
  <c r="H92" i="60"/>
  <c r="Y63" i="59"/>
  <c r="Y66" i="59" s="1"/>
  <c r="Y5" i="58"/>
  <c r="Y7" i="58" s="1"/>
  <c r="Y10" i="58" s="1"/>
  <c r="J63" i="59"/>
  <c r="J66" i="59" s="1"/>
  <c r="J5" i="58"/>
  <c r="J7" i="58" s="1"/>
  <c r="J10" i="58" s="1"/>
  <c r="T63" i="59"/>
  <c r="T5" i="58"/>
  <c r="T7" i="58" s="1"/>
  <c r="T10" i="58" s="1"/>
  <c r="G65" i="59"/>
  <c r="G8" i="58"/>
  <c r="G9" i="58" s="1"/>
  <c r="W94" i="60"/>
  <c r="AE96" i="60"/>
  <c r="AE19" i="58"/>
  <c r="P19" i="58"/>
  <c r="R96" i="60"/>
  <c r="R19" i="58"/>
  <c r="K63" i="59"/>
  <c r="K5" i="58"/>
  <c r="K7" i="58" s="1"/>
  <c r="Y94" i="60"/>
  <c r="Y16" i="58"/>
  <c r="S94" i="60"/>
  <c r="S16" i="58"/>
  <c r="Q63" i="59"/>
  <c r="Q5" i="58"/>
  <c r="Q7" i="58" s="1"/>
  <c r="AF65" i="59"/>
  <c r="AF8" i="58"/>
  <c r="AF9" i="58" s="1"/>
  <c r="N94" i="60"/>
  <c r="N16" i="58"/>
  <c r="AD63" i="59"/>
  <c r="AD5" i="58"/>
  <c r="AD7" i="58" s="1"/>
  <c r="AD10" i="58" s="1"/>
  <c r="D63" i="59"/>
  <c r="C61" i="59"/>
  <c r="D5" i="58"/>
  <c r="D27" i="58" s="1"/>
  <c r="D38" i="58" s="1"/>
  <c r="AD65" i="59"/>
  <c r="AD8" i="58"/>
  <c r="AD9" i="58" s="1"/>
  <c r="I96" i="60"/>
  <c r="I19" i="58"/>
  <c r="V96" i="60"/>
  <c r="V19" i="58"/>
  <c r="AC5" i="58"/>
  <c r="AC7" i="58" s="1"/>
  <c r="AC10" i="58" s="1"/>
  <c r="AC63" i="59"/>
  <c r="AC66" i="59" s="1"/>
  <c r="K65" i="59"/>
  <c r="K8" i="58"/>
  <c r="K9" i="58" s="1"/>
  <c r="O63" i="59"/>
  <c r="O66" i="59" s="1"/>
  <c r="O5" i="58"/>
  <c r="O7" i="58" s="1"/>
  <c r="O10" i="58" s="1"/>
  <c r="E18" i="58"/>
  <c r="N63" i="59"/>
  <c r="N66" i="59" s="1"/>
  <c r="N5" i="58"/>
  <c r="N7" i="58" s="1"/>
  <c r="N10" i="58" s="1"/>
  <c r="P65" i="59"/>
  <c r="P8" i="58"/>
  <c r="P9" i="58" s="1"/>
  <c r="M5" i="58"/>
  <c r="M7" i="58" s="1"/>
  <c r="M10" i="58" s="1"/>
  <c r="M63" i="59"/>
  <c r="M66" i="59" s="1"/>
  <c r="G63" i="59"/>
  <c r="G5" i="58"/>
  <c r="G7" i="58" s="1"/>
  <c r="G10" i="58" s="1"/>
  <c r="S65" i="59"/>
  <c r="S8" i="58"/>
  <c r="S9" i="58" s="1"/>
  <c r="AC95" i="60"/>
  <c r="O96" i="60"/>
  <c r="O19" i="58"/>
  <c r="Q96" i="60"/>
  <c r="X95" i="60"/>
  <c r="J96" i="60"/>
  <c r="J19" i="58"/>
  <c r="E63" i="59"/>
  <c r="E5" i="58"/>
  <c r="E7" i="58" s="1"/>
  <c r="E10" i="58" s="1"/>
  <c r="V63" i="59"/>
  <c r="V5" i="58"/>
  <c r="V7" i="58" s="1"/>
  <c r="V10" i="58" s="1"/>
  <c r="D65" i="59"/>
  <c r="D8" i="58"/>
  <c r="M96" i="60"/>
  <c r="M19" i="58"/>
  <c r="K95" i="60"/>
  <c r="W95" i="60"/>
  <c r="Y96" i="60"/>
  <c r="Y19" i="58"/>
  <c r="L95" i="60"/>
  <c r="AB95" i="60"/>
  <c r="N96" i="60"/>
  <c r="N19" i="58"/>
  <c r="AD96" i="60"/>
  <c r="AD19" i="58"/>
  <c r="L63" i="59"/>
  <c r="L5" i="58"/>
  <c r="L7" i="58" s="1"/>
  <c r="AB65" i="59"/>
  <c r="AB8" i="58"/>
  <c r="AB9" i="58" s="1"/>
  <c r="R63" i="59"/>
  <c r="R66" i="59" s="1"/>
  <c r="R5" i="58"/>
  <c r="R7" i="58" s="1"/>
  <c r="I63" i="59"/>
  <c r="I66" i="59" s="1"/>
  <c r="I5" i="58"/>
  <c r="I7" i="58" s="1"/>
  <c r="I10" i="58" s="1"/>
  <c r="E20" i="58"/>
  <c r="E30" i="58"/>
  <c r="E41" i="58" s="1"/>
  <c r="AG5" i="58"/>
  <c r="AG7" i="58" s="1"/>
  <c r="AG63" i="59"/>
  <c r="AG66" i="59" s="1"/>
  <c r="AE63" i="59"/>
  <c r="AE5" i="58"/>
  <c r="AE7" i="58" s="1"/>
  <c r="Q65" i="59"/>
  <c r="Q8" i="58"/>
  <c r="Q9" i="58" s="1"/>
  <c r="AA65" i="59"/>
  <c r="AA8" i="58"/>
  <c r="AA9" i="58" s="1"/>
  <c r="F63" i="59"/>
  <c r="F66" i="59" s="1"/>
  <c r="F5" i="58"/>
  <c r="F7" i="58" s="1"/>
  <c r="F10" i="58" s="1"/>
  <c r="X63" i="59"/>
  <c r="X5" i="58"/>
  <c r="X7" i="58" s="1"/>
  <c r="H65" i="59"/>
  <c r="H8" i="58"/>
  <c r="H9" i="58" s="1"/>
  <c r="D97" i="60"/>
  <c r="T66" i="59" l="1"/>
  <c r="S10" i="58"/>
  <c r="T16" i="58"/>
  <c r="S10" i="61"/>
  <c r="E66" i="62"/>
  <c r="AC16" i="61"/>
  <c r="L66" i="59"/>
  <c r="AA19" i="58"/>
  <c r="AA30" i="58" s="1"/>
  <c r="AA41" i="58" s="1"/>
  <c r="R94" i="60"/>
  <c r="R97" i="60" s="1"/>
  <c r="G97" i="60"/>
  <c r="Z66" i="62"/>
  <c r="S66" i="62"/>
  <c r="W66" i="62"/>
  <c r="J10" i="61"/>
  <c r="Q97" i="63"/>
  <c r="AF19" i="58"/>
  <c r="AF30" i="58" s="1"/>
  <c r="AF41" i="58" s="1"/>
  <c r="G16" i="61"/>
  <c r="H66" i="59"/>
  <c r="C92" i="60"/>
  <c r="R66" i="62"/>
  <c r="AG10" i="58"/>
  <c r="AD66" i="59"/>
  <c r="P10" i="58"/>
  <c r="U66" i="59"/>
  <c r="AF10" i="61"/>
  <c r="V66" i="59"/>
  <c r="V97" i="60"/>
  <c r="X66" i="59"/>
  <c r="AE66" i="59"/>
  <c r="Z10" i="61"/>
  <c r="S97" i="60"/>
  <c r="AB66" i="59"/>
  <c r="J66" i="62"/>
  <c r="AG97" i="60"/>
  <c r="Z97" i="63"/>
  <c r="F66" i="62"/>
  <c r="K10" i="58"/>
  <c r="E66" i="59"/>
  <c r="K66" i="59"/>
  <c r="C65" i="62"/>
  <c r="D97" i="63"/>
  <c r="AG94" i="63"/>
  <c r="AG97" i="63" s="1"/>
  <c r="AG16" i="61"/>
  <c r="W94" i="63"/>
  <c r="W97" i="63" s="1"/>
  <c r="W16" i="61"/>
  <c r="AB94" i="63"/>
  <c r="AB97" i="63" s="1"/>
  <c r="AB16" i="61"/>
  <c r="E20" i="61"/>
  <c r="E21" i="61" s="1"/>
  <c r="E52" i="6" s="1"/>
  <c r="E30" i="61"/>
  <c r="E41" i="61" s="1"/>
  <c r="C63" i="62"/>
  <c r="P30" i="61"/>
  <c r="P41" i="61" s="1"/>
  <c r="P20" i="61"/>
  <c r="AC27" i="61"/>
  <c r="AC38" i="61" s="1"/>
  <c r="AC18" i="61"/>
  <c r="H27" i="61"/>
  <c r="H38" i="61" s="1"/>
  <c r="H18" i="61"/>
  <c r="N30" i="61"/>
  <c r="N41" i="61" s="1"/>
  <c r="N20" i="61"/>
  <c r="K30" i="61"/>
  <c r="K41" i="61" s="1"/>
  <c r="K20" i="61"/>
  <c r="F18" i="61"/>
  <c r="F27" i="61"/>
  <c r="F38" i="61" s="1"/>
  <c r="AE94" i="63"/>
  <c r="AE97" i="63" s="1"/>
  <c r="AE16" i="61"/>
  <c r="L94" i="63"/>
  <c r="L97" i="63" s="1"/>
  <c r="L16" i="61"/>
  <c r="W10" i="61"/>
  <c r="I94" i="63"/>
  <c r="I97" i="63" s="1"/>
  <c r="I16" i="61"/>
  <c r="AF94" i="63"/>
  <c r="AF97" i="63" s="1"/>
  <c r="AF16" i="61"/>
  <c r="C7" i="61"/>
  <c r="Q30" i="61"/>
  <c r="Q41" i="61" s="1"/>
  <c r="Q20" i="61"/>
  <c r="R30" i="61"/>
  <c r="R41" i="61" s="1"/>
  <c r="R20" i="61"/>
  <c r="G30" i="61"/>
  <c r="G41" i="61" s="1"/>
  <c r="G20" i="61"/>
  <c r="E29" i="61"/>
  <c r="E40" i="61"/>
  <c r="AA94" i="63"/>
  <c r="AA97" i="63" s="1"/>
  <c r="AA16" i="61"/>
  <c r="P94" i="63"/>
  <c r="P97" i="63" s="1"/>
  <c r="P16" i="61"/>
  <c r="D66" i="62"/>
  <c r="J97" i="63"/>
  <c r="AC97" i="63"/>
  <c r="F97" i="63"/>
  <c r="AC20" i="61"/>
  <c r="AC30" i="61"/>
  <c r="AC41" i="61" s="1"/>
  <c r="AD94" i="63"/>
  <c r="AD97" i="63" s="1"/>
  <c r="AD16" i="61"/>
  <c r="M20" i="61"/>
  <c r="M30" i="61"/>
  <c r="M41" i="61" s="1"/>
  <c r="AG30" i="61"/>
  <c r="AG41" i="61" s="1"/>
  <c r="AG20" i="61"/>
  <c r="AA30" i="61"/>
  <c r="AA41" i="61" s="1"/>
  <c r="AA20" i="61"/>
  <c r="T20" i="61"/>
  <c r="T30" i="61"/>
  <c r="T41" i="61" s="1"/>
  <c r="AF30" i="61"/>
  <c r="AF41" i="61" s="1"/>
  <c r="AF20" i="61"/>
  <c r="U20" i="61"/>
  <c r="U30" i="61"/>
  <c r="U41" i="61" s="1"/>
  <c r="D27" i="61"/>
  <c r="D38" i="61" s="1"/>
  <c r="D18" i="61"/>
  <c r="O94" i="63"/>
  <c r="O97" i="63" s="1"/>
  <c r="O16" i="61"/>
  <c r="U94" i="63"/>
  <c r="U97" i="63" s="1"/>
  <c r="U16" i="61"/>
  <c r="L20" i="61"/>
  <c r="L30" i="61"/>
  <c r="L41" i="61" s="1"/>
  <c r="C5" i="61"/>
  <c r="O10" i="61"/>
  <c r="F30" i="61"/>
  <c r="F41" i="61" s="1"/>
  <c r="F20" i="61"/>
  <c r="K94" i="63"/>
  <c r="K97" i="63" s="1"/>
  <c r="K16" i="61"/>
  <c r="G10" i="61"/>
  <c r="V94" i="63"/>
  <c r="V97" i="63" s="1"/>
  <c r="V16" i="61"/>
  <c r="Z18" i="61"/>
  <c r="Z21" i="61" s="1"/>
  <c r="Z52" i="6" s="1"/>
  <c r="Z27" i="61"/>
  <c r="Z38" i="61" s="1"/>
  <c r="Z30" i="61"/>
  <c r="Z41" i="61" s="1"/>
  <c r="Z20" i="61"/>
  <c r="Y30" i="61"/>
  <c r="Y41" i="61" s="1"/>
  <c r="Y20" i="61"/>
  <c r="G18" i="61"/>
  <c r="G27" i="61"/>
  <c r="G38" i="61" s="1"/>
  <c r="N27" i="61"/>
  <c r="N38" i="61" s="1"/>
  <c r="N18" i="61"/>
  <c r="N21" i="61" s="1"/>
  <c r="N52" i="6" s="1"/>
  <c r="O30" i="61"/>
  <c r="O41" i="61" s="1"/>
  <c r="O20" i="61"/>
  <c r="S30" i="61"/>
  <c r="S41" i="61" s="1"/>
  <c r="S20" i="61"/>
  <c r="AB20" i="61"/>
  <c r="AB30" i="61"/>
  <c r="AB41" i="61" s="1"/>
  <c r="V30" i="61"/>
  <c r="V41" i="61" s="1"/>
  <c r="V20" i="61"/>
  <c r="AD30" i="61"/>
  <c r="AD41" i="61" s="1"/>
  <c r="AD20" i="61"/>
  <c r="H30" i="61"/>
  <c r="H41" i="61" s="1"/>
  <c r="H20" i="61"/>
  <c r="D20" i="61"/>
  <c r="C19" i="61"/>
  <c r="D30" i="61"/>
  <c r="D41" i="61" s="1"/>
  <c r="J30" i="61"/>
  <c r="J41" i="61" s="1"/>
  <c r="J20" i="61"/>
  <c r="W30" i="61"/>
  <c r="W41" i="61" s="1"/>
  <c r="W20" i="61"/>
  <c r="S27" i="61"/>
  <c r="S38" i="61" s="1"/>
  <c r="S18" i="61"/>
  <c r="J18" i="61"/>
  <c r="J27" i="61"/>
  <c r="J38" i="61" s="1"/>
  <c r="I30" i="61"/>
  <c r="I41" i="61" s="1"/>
  <c r="I20" i="61"/>
  <c r="AE30" i="61"/>
  <c r="AE41" i="61" s="1"/>
  <c r="AE20" i="61"/>
  <c r="X30" i="61"/>
  <c r="X41" i="61" s="1"/>
  <c r="X20" i="61"/>
  <c r="C92" i="63"/>
  <c r="D9" i="61"/>
  <c r="C9" i="61" s="1"/>
  <c r="C8" i="61"/>
  <c r="X94" i="63"/>
  <c r="X97" i="63" s="1"/>
  <c r="X16" i="61"/>
  <c r="Y94" i="63"/>
  <c r="Y97" i="63" s="1"/>
  <c r="Y16" i="61"/>
  <c r="P10" i="61"/>
  <c r="Q18" i="61"/>
  <c r="Q27" i="61"/>
  <c r="Q38" i="61" s="1"/>
  <c r="O66" i="62"/>
  <c r="R94" i="63"/>
  <c r="R97" i="63" s="1"/>
  <c r="R16" i="61"/>
  <c r="G66" i="62"/>
  <c r="T94" i="63"/>
  <c r="T97" i="63" s="1"/>
  <c r="T16" i="61"/>
  <c r="M94" i="63"/>
  <c r="M97" i="63" s="1"/>
  <c r="M16" i="61"/>
  <c r="G97" i="63"/>
  <c r="N97" i="63"/>
  <c r="C96" i="63"/>
  <c r="D29" i="58"/>
  <c r="I20" i="58"/>
  <c r="I30" i="58"/>
  <c r="I41" i="58" s="1"/>
  <c r="AA66" i="59"/>
  <c r="AC97" i="60"/>
  <c r="W96" i="60"/>
  <c r="W97" i="60" s="1"/>
  <c r="W19" i="58"/>
  <c r="Q10" i="58"/>
  <c r="Z30" i="58"/>
  <c r="Z41" i="58" s="1"/>
  <c r="Z20" i="58"/>
  <c r="F30" i="58"/>
  <c r="F41" i="58" s="1"/>
  <c r="F20" i="58"/>
  <c r="D30" i="58"/>
  <c r="D41" i="58" s="1"/>
  <c r="D20" i="58"/>
  <c r="D21" i="58" s="1"/>
  <c r="D52" i="36" s="1"/>
  <c r="AG30" i="58"/>
  <c r="AG41" i="58" s="1"/>
  <c r="AG20" i="58"/>
  <c r="Q27" i="58"/>
  <c r="Q38" i="58" s="1"/>
  <c r="Q18" i="58"/>
  <c r="U27" i="58"/>
  <c r="U38" i="58" s="1"/>
  <c r="U18" i="58"/>
  <c r="T27" i="58"/>
  <c r="T38" i="58" s="1"/>
  <c r="T18" i="58"/>
  <c r="T21" i="58" s="1"/>
  <c r="T52" i="36" s="1"/>
  <c r="Z18" i="58"/>
  <c r="Z27" i="58"/>
  <c r="Z38" i="58" s="1"/>
  <c r="M27" i="58"/>
  <c r="M38" i="58" s="1"/>
  <c r="M18" i="58"/>
  <c r="AF27" i="58"/>
  <c r="AF38" i="58" s="1"/>
  <c r="AF18" i="58"/>
  <c r="AE18" i="58"/>
  <c r="AE27" i="58"/>
  <c r="AE38" i="58" s="1"/>
  <c r="I27" i="58"/>
  <c r="I38" i="58" s="1"/>
  <c r="I18" i="58"/>
  <c r="P27" i="58"/>
  <c r="P38" i="58" s="1"/>
  <c r="P18" i="58"/>
  <c r="U96" i="60"/>
  <c r="U19" i="58"/>
  <c r="AD30" i="58"/>
  <c r="AD41" i="58" s="1"/>
  <c r="AD20" i="58"/>
  <c r="AB96" i="60"/>
  <c r="AB97" i="60" s="1"/>
  <c r="AB19" i="58"/>
  <c r="C8" i="58"/>
  <c r="D9" i="58"/>
  <c r="C9" i="58" s="1"/>
  <c r="X96" i="60"/>
  <c r="X97" i="60" s="1"/>
  <c r="X19" i="58"/>
  <c r="R30" i="58"/>
  <c r="R41" i="58" s="1"/>
  <c r="R20" i="58"/>
  <c r="J18" i="58"/>
  <c r="J27" i="58"/>
  <c r="J38" i="58" s="1"/>
  <c r="L96" i="60"/>
  <c r="L97" i="60" s="1"/>
  <c r="L19" i="58"/>
  <c r="K96" i="60"/>
  <c r="K97" i="60" s="1"/>
  <c r="K19" i="58"/>
  <c r="C65" i="59"/>
  <c r="Q30" i="58"/>
  <c r="Q41" i="58" s="1"/>
  <c r="Q20" i="58"/>
  <c r="AC96" i="60"/>
  <c r="AC19" i="58"/>
  <c r="G66" i="59"/>
  <c r="E21" i="58"/>
  <c r="E52" i="36" s="1"/>
  <c r="V30" i="58"/>
  <c r="V41" i="58" s="1"/>
  <c r="V20" i="58"/>
  <c r="D66" i="59"/>
  <c r="C63" i="59"/>
  <c r="N97" i="60"/>
  <c r="Q66" i="59"/>
  <c r="Y97" i="60"/>
  <c r="AF10" i="58"/>
  <c r="T30" i="58"/>
  <c r="T41" i="58" s="1"/>
  <c r="T20" i="58"/>
  <c r="AD97" i="60"/>
  <c r="S66" i="59"/>
  <c r="Q97" i="60"/>
  <c r="U97" i="60"/>
  <c r="T97" i="60"/>
  <c r="Z97" i="60"/>
  <c r="M97" i="60"/>
  <c r="AF97" i="60"/>
  <c r="AE97" i="60"/>
  <c r="I97" i="60"/>
  <c r="O97" i="60"/>
  <c r="J97" i="60"/>
  <c r="P97" i="60"/>
  <c r="F18" i="58"/>
  <c r="F27" i="58"/>
  <c r="F38" i="58" s="1"/>
  <c r="O30" i="58"/>
  <c r="O41" i="58" s="1"/>
  <c r="O20" i="58"/>
  <c r="C5" i="58"/>
  <c r="D7" i="58"/>
  <c r="G20" i="58"/>
  <c r="G30" i="58"/>
  <c r="G41" i="58" s="1"/>
  <c r="AA97" i="60"/>
  <c r="N18" i="58"/>
  <c r="N27" i="58"/>
  <c r="N38" i="58" s="1"/>
  <c r="Y27" i="58"/>
  <c r="Y38" i="58" s="1"/>
  <c r="Y18" i="58"/>
  <c r="AE20" i="58"/>
  <c r="AE30" i="58"/>
  <c r="AE41" i="58" s="1"/>
  <c r="W18" i="58"/>
  <c r="W27" i="58"/>
  <c r="W38" i="58" s="1"/>
  <c r="AD18" i="58"/>
  <c r="AD27" i="58"/>
  <c r="AD38" i="58" s="1"/>
  <c r="O18" i="58"/>
  <c r="O21" i="58" s="1"/>
  <c r="O52" i="36" s="1"/>
  <c r="O27" i="58"/>
  <c r="O38" i="58" s="1"/>
  <c r="X10" i="58"/>
  <c r="AE10" i="58"/>
  <c r="E42" i="58"/>
  <c r="E31" i="58"/>
  <c r="R10" i="58"/>
  <c r="L10" i="58"/>
  <c r="N30" i="58"/>
  <c r="N41" i="58" s="1"/>
  <c r="N20" i="58"/>
  <c r="Y20" i="58"/>
  <c r="Y30" i="58"/>
  <c r="Y41" i="58" s="1"/>
  <c r="M20" i="58"/>
  <c r="M30" i="58"/>
  <c r="M41" i="58" s="1"/>
  <c r="J30" i="58"/>
  <c r="J41" i="58" s="1"/>
  <c r="J20" i="58"/>
  <c r="E27" i="58"/>
  <c r="E38" i="58" s="1"/>
  <c r="S18" i="58"/>
  <c r="S27" i="58"/>
  <c r="S38" i="58" s="1"/>
  <c r="P30" i="58"/>
  <c r="P41" i="58" s="1"/>
  <c r="P20" i="58"/>
  <c r="H94" i="60"/>
  <c r="C94" i="60" s="1"/>
  <c r="H16" i="58"/>
  <c r="W66" i="59"/>
  <c r="AA10" i="58"/>
  <c r="AB10" i="58"/>
  <c r="H96" i="60"/>
  <c r="H19" i="58"/>
  <c r="AF66" i="59"/>
  <c r="H10" i="58"/>
  <c r="S20" i="58"/>
  <c r="S30" i="58"/>
  <c r="S41" i="58" s="1"/>
  <c r="AC27" i="58"/>
  <c r="AC38" i="58" s="1"/>
  <c r="AC18" i="58"/>
  <c r="K18" i="58"/>
  <c r="K27" i="58"/>
  <c r="K38" i="58" s="1"/>
  <c r="X27" i="58"/>
  <c r="X38" i="58" s="1"/>
  <c r="X18" i="58"/>
  <c r="R18" i="58"/>
  <c r="R27" i="58"/>
  <c r="R38" i="58" s="1"/>
  <c r="AG27" i="58"/>
  <c r="AG38" i="58" s="1"/>
  <c r="AG18" i="58"/>
  <c r="AG21" i="58" s="1"/>
  <c r="AG52" i="36" s="1"/>
  <c r="V18" i="58"/>
  <c r="V27" i="58"/>
  <c r="V38" i="58" s="1"/>
  <c r="AB27" i="58"/>
  <c r="AB38" i="58" s="1"/>
  <c r="AB18" i="58"/>
  <c r="G18" i="58"/>
  <c r="G27" i="58"/>
  <c r="G38" i="58" s="1"/>
  <c r="L27" i="58"/>
  <c r="L38" i="58" s="1"/>
  <c r="L18" i="58"/>
  <c r="AA18" i="58"/>
  <c r="AA27" i="58"/>
  <c r="AA38" i="58" s="1"/>
  <c r="F97" i="60"/>
  <c r="AF20" i="58" l="1"/>
  <c r="I21" i="58"/>
  <c r="I52" i="36" s="1"/>
  <c r="AA21" i="58"/>
  <c r="AA52" i="36" s="1"/>
  <c r="AA20" i="58"/>
  <c r="C19" i="58"/>
  <c r="AD21" i="58"/>
  <c r="AD52" i="36" s="1"/>
  <c r="S21" i="61"/>
  <c r="S52" i="6" s="1"/>
  <c r="G21" i="61"/>
  <c r="G52" i="6" s="1"/>
  <c r="S21" i="58"/>
  <c r="S52" i="36" s="1"/>
  <c r="P21" i="58"/>
  <c r="P52" i="36" s="1"/>
  <c r="M21" i="58"/>
  <c r="M52" i="36" s="1"/>
  <c r="F21" i="58"/>
  <c r="F52" i="36" s="1"/>
  <c r="J21" i="58"/>
  <c r="J52" i="36" s="1"/>
  <c r="R21" i="58"/>
  <c r="R52" i="36" s="1"/>
  <c r="Y21" i="58"/>
  <c r="Y52" i="36" s="1"/>
  <c r="V21" i="58"/>
  <c r="V52" i="36" s="1"/>
  <c r="Z21" i="58"/>
  <c r="Z52" i="36" s="1"/>
  <c r="C96" i="60"/>
  <c r="T27" i="61"/>
  <c r="T38" i="61" s="1"/>
  <c r="T18" i="61"/>
  <c r="T21" i="61" s="1"/>
  <c r="T52" i="6" s="1"/>
  <c r="AD42" i="61"/>
  <c r="AD31" i="61"/>
  <c r="O42" i="61"/>
  <c r="O31" i="61"/>
  <c r="Z42" i="61"/>
  <c r="Z31" i="61"/>
  <c r="O27" i="61"/>
  <c r="O38" i="61" s="1"/>
  <c r="O18" i="61"/>
  <c r="O21" i="61" s="1"/>
  <c r="O52" i="6" s="1"/>
  <c r="AF31" i="61"/>
  <c r="AF42" i="61"/>
  <c r="AC42" i="61"/>
  <c r="AC31" i="61"/>
  <c r="AA27" i="61"/>
  <c r="AA38" i="61" s="1"/>
  <c r="AA18" i="61"/>
  <c r="AA21" i="61" s="1"/>
  <c r="AA52" i="6" s="1"/>
  <c r="K42" i="61"/>
  <c r="K31" i="61"/>
  <c r="P31" i="61"/>
  <c r="P42" i="61"/>
  <c r="Y18" i="61"/>
  <c r="Y21" i="61" s="1"/>
  <c r="Y52" i="6" s="1"/>
  <c r="Y27" i="61"/>
  <c r="Y38" i="61" s="1"/>
  <c r="X31" i="61"/>
  <c r="X42" i="61"/>
  <c r="I42" i="61"/>
  <c r="I31" i="61"/>
  <c r="S40" i="61"/>
  <c r="S29" i="61"/>
  <c r="J42" i="61"/>
  <c r="J31" i="61"/>
  <c r="Z29" i="61"/>
  <c r="Z40" i="61"/>
  <c r="Z43" i="61" s="1"/>
  <c r="Z6" i="52" s="1"/>
  <c r="F42" i="61"/>
  <c r="F31" i="61"/>
  <c r="U42" i="61"/>
  <c r="U31" i="61"/>
  <c r="T31" i="61"/>
  <c r="T42" i="61"/>
  <c r="C66" i="62"/>
  <c r="G42" i="61"/>
  <c r="G31" i="61"/>
  <c r="Q42" i="61"/>
  <c r="Q31" i="61"/>
  <c r="L27" i="61"/>
  <c r="L38" i="61" s="1"/>
  <c r="L18" i="61"/>
  <c r="L21" i="61" s="1"/>
  <c r="L52" i="6" s="1"/>
  <c r="F29" i="61"/>
  <c r="F40" i="61"/>
  <c r="AC21" i="61"/>
  <c r="AC52" i="6" s="1"/>
  <c r="L31" i="61"/>
  <c r="L42" i="61"/>
  <c r="AG18" i="61"/>
  <c r="AG21" i="61" s="1"/>
  <c r="AG52" i="6" s="1"/>
  <c r="AG27" i="61"/>
  <c r="AG38" i="61" s="1"/>
  <c r="M27" i="61"/>
  <c r="M38" i="61" s="1"/>
  <c r="M18" i="61"/>
  <c r="M21" i="61" s="1"/>
  <c r="M52" i="6" s="1"/>
  <c r="Q29" i="61"/>
  <c r="Q40" i="61"/>
  <c r="J29" i="61"/>
  <c r="J40" i="61"/>
  <c r="D31" i="61"/>
  <c r="C30" i="61"/>
  <c r="H31" i="61"/>
  <c r="H42" i="61"/>
  <c r="V42" i="61"/>
  <c r="V31" i="61"/>
  <c r="S42" i="61"/>
  <c r="S31" i="61"/>
  <c r="N29" i="61"/>
  <c r="N32" i="61" s="1"/>
  <c r="N6" i="6" s="1"/>
  <c r="N40" i="61"/>
  <c r="Y42" i="61"/>
  <c r="Y31" i="61"/>
  <c r="K18" i="61"/>
  <c r="K21" i="61" s="1"/>
  <c r="K52" i="6" s="1"/>
  <c r="K27" i="61"/>
  <c r="K38" i="61" s="1"/>
  <c r="U27" i="61"/>
  <c r="U38" i="61" s="1"/>
  <c r="U18" i="61"/>
  <c r="U21" i="61" s="1"/>
  <c r="U52" i="6" s="1"/>
  <c r="D21" i="61"/>
  <c r="D52" i="6" s="1"/>
  <c r="AG42" i="61"/>
  <c r="AG31" i="61"/>
  <c r="AD27" i="61"/>
  <c r="AD38" i="61" s="1"/>
  <c r="AD18" i="61"/>
  <c r="AD21" i="61" s="1"/>
  <c r="AD52" i="6" s="1"/>
  <c r="P27" i="61"/>
  <c r="P38" i="61" s="1"/>
  <c r="P18" i="61"/>
  <c r="P21" i="61" s="1"/>
  <c r="P52" i="6" s="1"/>
  <c r="D10" i="61"/>
  <c r="C10" i="61" s="1"/>
  <c r="I27" i="61"/>
  <c r="I38" i="61" s="1"/>
  <c r="I18" i="61"/>
  <c r="I21" i="61" s="1"/>
  <c r="I52" i="6" s="1"/>
  <c r="F21" i="61"/>
  <c r="F52" i="6" s="1"/>
  <c r="N42" i="61"/>
  <c r="N31" i="61"/>
  <c r="AC29" i="61"/>
  <c r="AC32" i="61" s="1"/>
  <c r="AC6" i="6" s="1"/>
  <c r="AC40" i="61"/>
  <c r="E42" i="61"/>
  <c r="E43" i="61" s="1"/>
  <c r="E6" i="52" s="1"/>
  <c r="E31" i="61"/>
  <c r="W27" i="61"/>
  <c r="W38" i="61" s="1"/>
  <c r="W18" i="61"/>
  <c r="W21" i="61" s="1"/>
  <c r="W52" i="6" s="1"/>
  <c r="C94" i="63"/>
  <c r="C20" i="61"/>
  <c r="D29" i="61"/>
  <c r="AA42" i="61"/>
  <c r="AA31" i="61"/>
  <c r="AF27" i="61"/>
  <c r="AF38" i="61" s="1"/>
  <c r="AF18" i="61"/>
  <c r="AF21" i="61" s="1"/>
  <c r="AF52" i="6" s="1"/>
  <c r="H40" i="61"/>
  <c r="H29" i="61"/>
  <c r="AB27" i="61"/>
  <c r="AB38" i="61" s="1"/>
  <c r="AB18" i="61"/>
  <c r="AB21" i="61" s="1"/>
  <c r="AB52" i="6" s="1"/>
  <c r="R18" i="61"/>
  <c r="R21" i="61" s="1"/>
  <c r="R52" i="6" s="1"/>
  <c r="R27" i="61"/>
  <c r="R38" i="61" s="1"/>
  <c r="Q21" i="61"/>
  <c r="Q52" i="6" s="1"/>
  <c r="X27" i="61"/>
  <c r="X38" i="61" s="1"/>
  <c r="X18" i="61"/>
  <c r="X21" i="61" s="1"/>
  <c r="X52" i="6" s="1"/>
  <c r="AE42" i="61"/>
  <c r="AE31" i="61"/>
  <c r="J21" i="61"/>
  <c r="J52" i="6" s="1"/>
  <c r="W42" i="61"/>
  <c r="W31" i="61"/>
  <c r="AB31" i="61"/>
  <c r="AB42" i="61"/>
  <c r="G40" i="61"/>
  <c r="G29" i="61"/>
  <c r="V27" i="61"/>
  <c r="V38" i="61" s="1"/>
  <c r="V18" i="61"/>
  <c r="V21" i="61" s="1"/>
  <c r="V52" i="6" s="1"/>
  <c r="C16" i="61"/>
  <c r="M42" i="61"/>
  <c r="M31" i="61"/>
  <c r="E32" i="61"/>
  <c r="E6" i="6" s="1"/>
  <c r="R42" i="61"/>
  <c r="R31" i="61"/>
  <c r="AE27" i="61"/>
  <c r="AE38" i="61" s="1"/>
  <c r="AE18" i="61"/>
  <c r="AE21" i="61" s="1"/>
  <c r="AE52" i="6" s="1"/>
  <c r="H21" i="61"/>
  <c r="H52" i="6" s="1"/>
  <c r="C97" i="63"/>
  <c r="O42" i="58"/>
  <c r="O31" i="58"/>
  <c r="W20" i="58"/>
  <c r="W21" i="58" s="1"/>
  <c r="W52" i="36" s="1"/>
  <c r="W30" i="58"/>
  <c r="W41" i="58" s="1"/>
  <c r="L40" i="58"/>
  <c r="L29" i="58"/>
  <c r="AB40" i="58"/>
  <c r="AB29" i="58"/>
  <c r="AG40" i="58"/>
  <c r="AG29" i="58"/>
  <c r="X29" i="58"/>
  <c r="X40" i="58"/>
  <c r="AC40" i="58"/>
  <c r="AC29" i="58"/>
  <c r="AF42" i="58"/>
  <c r="AF31" i="58"/>
  <c r="H27" i="58"/>
  <c r="H18" i="58"/>
  <c r="C18" i="58" s="1"/>
  <c r="C16" i="58"/>
  <c r="E40" i="58"/>
  <c r="E43" i="58" s="1"/>
  <c r="E6" i="19" s="1"/>
  <c r="E29" i="58"/>
  <c r="E32" i="58" s="1"/>
  <c r="N42" i="58"/>
  <c r="N31" i="58"/>
  <c r="O29" i="58"/>
  <c r="O40" i="58"/>
  <c r="W29" i="58"/>
  <c r="W40" i="58"/>
  <c r="C7" i="58"/>
  <c r="D10" i="58"/>
  <c r="C10" i="58" s="1"/>
  <c r="F40" i="58"/>
  <c r="F29" i="58"/>
  <c r="C66" i="59"/>
  <c r="Q42" i="58"/>
  <c r="Q31" i="58"/>
  <c r="L30" i="58"/>
  <c r="L41" i="58" s="1"/>
  <c r="L20" i="58"/>
  <c r="L21" i="58" s="1"/>
  <c r="L52" i="36" s="1"/>
  <c r="X30" i="58"/>
  <c r="X41" i="58" s="1"/>
  <c r="X20" i="58"/>
  <c r="X21" i="58" s="1"/>
  <c r="X52" i="36" s="1"/>
  <c r="AB30" i="58"/>
  <c r="AB41" i="58" s="1"/>
  <c r="AB20" i="58"/>
  <c r="P29" i="58"/>
  <c r="P40" i="58"/>
  <c r="AE21" i="58"/>
  <c r="AE52" i="36" s="1"/>
  <c r="M40" i="58"/>
  <c r="M29" i="58"/>
  <c r="T40" i="58"/>
  <c r="T29" i="58"/>
  <c r="Q40" i="58"/>
  <c r="Q29" i="58"/>
  <c r="AB21" i="58"/>
  <c r="AB52" i="36" s="1"/>
  <c r="M42" i="58"/>
  <c r="M31" i="58"/>
  <c r="AD31" i="58"/>
  <c r="AD42" i="58"/>
  <c r="AE29" i="58"/>
  <c r="AE40" i="58"/>
  <c r="Q21" i="58"/>
  <c r="Q52" i="36" s="1"/>
  <c r="AA29" i="58"/>
  <c r="AA40" i="58"/>
  <c r="G40" i="58"/>
  <c r="G29" i="58"/>
  <c r="V40" i="58"/>
  <c r="V29" i="58"/>
  <c r="R40" i="58"/>
  <c r="R29" i="58"/>
  <c r="K29" i="58"/>
  <c r="K40" i="58"/>
  <c r="S31" i="58"/>
  <c r="S42" i="58"/>
  <c r="H97" i="60"/>
  <c r="C97" i="60" s="1"/>
  <c r="P42" i="58"/>
  <c r="P31" i="58"/>
  <c r="Y42" i="58"/>
  <c r="Y31" i="58"/>
  <c r="Y40" i="58"/>
  <c r="Y29" i="58"/>
  <c r="T42" i="58"/>
  <c r="T31" i="58"/>
  <c r="AC20" i="58"/>
  <c r="AC21" i="58" s="1"/>
  <c r="AC52" i="36" s="1"/>
  <c r="AC30" i="58"/>
  <c r="AC41" i="58" s="1"/>
  <c r="U20" i="58"/>
  <c r="U30" i="58"/>
  <c r="U41" i="58" s="1"/>
  <c r="AF21" i="58"/>
  <c r="AF52" i="36" s="1"/>
  <c r="Z40" i="58"/>
  <c r="Z29" i="58"/>
  <c r="U21" i="58"/>
  <c r="U52" i="36" s="1"/>
  <c r="D31" i="58"/>
  <c r="Z31" i="58"/>
  <c r="Z42" i="58"/>
  <c r="I42" i="58"/>
  <c r="I31" i="58"/>
  <c r="H30" i="58"/>
  <c r="H41" i="58" s="1"/>
  <c r="H20" i="58"/>
  <c r="AA31" i="58"/>
  <c r="AA42" i="58"/>
  <c r="N21" i="58"/>
  <c r="N52" i="36" s="1"/>
  <c r="R31" i="58"/>
  <c r="R42" i="58"/>
  <c r="F31" i="58"/>
  <c r="F42" i="58"/>
  <c r="G21" i="58"/>
  <c r="G52" i="36" s="1"/>
  <c r="S29" i="58"/>
  <c r="S40" i="58"/>
  <c r="S43" i="58" s="1"/>
  <c r="S6" i="19" s="1"/>
  <c r="J42" i="58"/>
  <c r="J31" i="58"/>
  <c r="AD40" i="58"/>
  <c r="AD29" i="58"/>
  <c r="AD32" i="58" s="1"/>
  <c r="AE42" i="58"/>
  <c r="AE31" i="58"/>
  <c r="N40" i="58"/>
  <c r="N29" i="58"/>
  <c r="G31" i="58"/>
  <c r="G42" i="58"/>
  <c r="V31" i="58"/>
  <c r="V42" i="58"/>
  <c r="K30" i="58"/>
  <c r="K41" i="58" s="1"/>
  <c r="K20" i="58"/>
  <c r="K21" i="58" s="1"/>
  <c r="K52" i="36" s="1"/>
  <c r="J40" i="58"/>
  <c r="J29" i="58"/>
  <c r="I40" i="58"/>
  <c r="I29" i="58"/>
  <c r="AF29" i="58"/>
  <c r="AF32" i="58" s="1"/>
  <c r="AF40" i="58"/>
  <c r="U40" i="58"/>
  <c r="U29" i="58"/>
  <c r="AG42" i="58"/>
  <c r="AG31" i="58"/>
  <c r="D40" i="58"/>
  <c r="C20" i="58" l="1"/>
  <c r="H43" i="61"/>
  <c r="H6" i="52" s="1"/>
  <c r="G32" i="61"/>
  <c r="G6" i="6" s="1"/>
  <c r="J32" i="58"/>
  <c r="R32" i="58"/>
  <c r="R6" i="36" s="1"/>
  <c r="C27" i="58"/>
  <c r="H38" i="58"/>
  <c r="I32" i="58"/>
  <c r="I6" i="36" s="1"/>
  <c r="N32" i="58"/>
  <c r="F43" i="61"/>
  <c r="F6" i="52" s="1"/>
  <c r="J43" i="61"/>
  <c r="J6" i="52" s="1"/>
  <c r="AC43" i="61"/>
  <c r="AC6" i="52" s="1"/>
  <c r="P43" i="58"/>
  <c r="P6" i="19" s="1"/>
  <c r="AF43" i="58"/>
  <c r="AF6" i="19" s="1"/>
  <c r="F32" i="61"/>
  <c r="F6" i="6" s="1"/>
  <c r="R19" i="36"/>
  <c r="E19" i="6"/>
  <c r="AD6" i="36"/>
  <c r="AD19" i="36"/>
  <c r="Q32" i="58"/>
  <c r="O43" i="58"/>
  <c r="O6" i="19" s="1"/>
  <c r="P32" i="58"/>
  <c r="AF6" i="36"/>
  <c r="AF19" i="36"/>
  <c r="Q43" i="58"/>
  <c r="Q6" i="19" s="1"/>
  <c r="Z43" i="58"/>
  <c r="Z6" i="19" s="1"/>
  <c r="G32" i="58"/>
  <c r="F32" i="58"/>
  <c r="N19" i="6"/>
  <c r="S32" i="61"/>
  <c r="S6" i="6" s="1"/>
  <c r="H21" i="58"/>
  <c r="H52" i="36" s="1"/>
  <c r="N6" i="36"/>
  <c r="N19" i="36"/>
  <c r="J19" i="36"/>
  <c r="J6" i="36"/>
  <c r="M32" i="58"/>
  <c r="E6" i="36"/>
  <c r="E19" i="36"/>
  <c r="AC19" i="6"/>
  <c r="J43" i="58"/>
  <c r="J6" i="19" s="1"/>
  <c r="N43" i="58"/>
  <c r="N6" i="19" s="1"/>
  <c r="S32" i="58"/>
  <c r="AA32" i="58"/>
  <c r="M43" i="58"/>
  <c r="M6" i="19" s="1"/>
  <c r="G19" i="6"/>
  <c r="H32" i="61"/>
  <c r="H6" i="6" s="1"/>
  <c r="J32" i="61"/>
  <c r="J6" i="6" s="1"/>
  <c r="Q43" i="61"/>
  <c r="Q6" i="52" s="1"/>
  <c r="Q32" i="61"/>
  <c r="Q6" i="6" s="1"/>
  <c r="V29" i="61"/>
  <c r="V32" i="61" s="1"/>
  <c r="V6" i="6" s="1"/>
  <c r="V40" i="61"/>
  <c r="V43" i="61" s="1"/>
  <c r="V6" i="52" s="1"/>
  <c r="C18" i="61"/>
  <c r="R29" i="61"/>
  <c r="R32" i="61" s="1"/>
  <c r="R6" i="6" s="1"/>
  <c r="R40" i="61"/>
  <c r="R43" i="61" s="1"/>
  <c r="R6" i="52" s="1"/>
  <c r="D40" i="61"/>
  <c r="W40" i="61"/>
  <c r="W43" i="61" s="1"/>
  <c r="W6" i="52" s="1"/>
  <c r="W29" i="61"/>
  <c r="W32" i="61" s="1"/>
  <c r="W6" i="6" s="1"/>
  <c r="C31" i="61"/>
  <c r="Z32" i="61"/>
  <c r="Z6" i="6" s="1"/>
  <c r="S43" i="61"/>
  <c r="S6" i="52" s="1"/>
  <c r="AA40" i="61"/>
  <c r="AA43" i="61" s="1"/>
  <c r="AA6" i="52" s="1"/>
  <c r="AA29" i="61"/>
  <c r="AA32" i="61" s="1"/>
  <c r="AA6" i="6" s="1"/>
  <c r="AB40" i="61"/>
  <c r="AB43" i="61" s="1"/>
  <c r="AB6" i="52" s="1"/>
  <c r="AB29" i="61"/>
  <c r="AB32" i="61" s="1"/>
  <c r="AB6" i="6" s="1"/>
  <c r="AD29" i="61"/>
  <c r="AD32" i="61" s="1"/>
  <c r="AD6" i="6" s="1"/>
  <c r="AD40" i="61"/>
  <c r="AD43" i="61" s="1"/>
  <c r="AD6" i="52" s="1"/>
  <c r="AG29" i="61"/>
  <c r="AG32" i="61" s="1"/>
  <c r="AG6" i="6" s="1"/>
  <c r="AG40" i="61"/>
  <c r="AG43" i="61" s="1"/>
  <c r="AG6" i="52" s="1"/>
  <c r="L40" i="61"/>
  <c r="L43" i="61" s="1"/>
  <c r="L6" i="52" s="1"/>
  <c r="L29" i="61"/>
  <c r="L32" i="61" s="1"/>
  <c r="L6" i="6" s="1"/>
  <c r="G43" i="61"/>
  <c r="G6" i="52" s="1"/>
  <c r="I29" i="61"/>
  <c r="I32" i="61" s="1"/>
  <c r="I6" i="6" s="1"/>
  <c r="I40" i="61"/>
  <c r="I43" i="61" s="1"/>
  <c r="I6" i="52" s="1"/>
  <c r="P40" i="61"/>
  <c r="P43" i="61" s="1"/>
  <c r="P6" i="52" s="1"/>
  <c r="P29" i="61"/>
  <c r="P32" i="61" s="1"/>
  <c r="P6" i="6" s="1"/>
  <c r="U29" i="61"/>
  <c r="U32" i="61" s="1"/>
  <c r="U6" i="6" s="1"/>
  <c r="U40" i="61"/>
  <c r="U43" i="61" s="1"/>
  <c r="U6" i="52" s="1"/>
  <c r="Y29" i="61"/>
  <c r="Y32" i="61" s="1"/>
  <c r="Y6" i="6" s="1"/>
  <c r="Y40" i="61"/>
  <c r="Y43" i="61" s="1"/>
  <c r="Y6" i="52" s="1"/>
  <c r="AE40" i="61"/>
  <c r="AE43" i="61" s="1"/>
  <c r="AE6" i="52" s="1"/>
  <c r="AE29" i="61"/>
  <c r="AE32" i="61" s="1"/>
  <c r="AE6" i="6" s="1"/>
  <c r="AF40" i="61"/>
  <c r="AF43" i="61" s="1"/>
  <c r="AF6" i="52" s="1"/>
  <c r="AF29" i="61"/>
  <c r="AF32" i="61" s="1"/>
  <c r="AF6" i="6" s="1"/>
  <c r="D32" i="61"/>
  <c r="D6" i="6" s="1"/>
  <c r="X40" i="61"/>
  <c r="X43" i="61" s="1"/>
  <c r="X6" i="52" s="1"/>
  <c r="X29" i="61"/>
  <c r="X32" i="61" s="1"/>
  <c r="X6" i="6" s="1"/>
  <c r="C27" i="61"/>
  <c r="C21" i="61"/>
  <c r="K40" i="61"/>
  <c r="K43" i="61" s="1"/>
  <c r="K6" i="52" s="1"/>
  <c r="K29" i="61"/>
  <c r="K32" i="61" s="1"/>
  <c r="K6" i="6" s="1"/>
  <c r="N43" i="61"/>
  <c r="N6" i="52" s="1"/>
  <c r="D42" i="61"/>
  <c r="C42" i="61" s="1"/>
  <c r="C41" i="61"/>
  <c r="M29" i="61"/>
  <c r="M32" i="61" s="1"/>
  <c r="M6" i="6" s="1"/>
  <c r="M40" i="61"/>
  <c r="M43" i="61" s="1"/>
  <c r="M6" i="52" s="1"/>
  <c r="O40" i="61"/>
  <c r="O43" i="61" s="1"/>
  <c r="O6" i="52" s="1"/>
  <c r="O29" i="61"/>
  <c r="O32" i="61" s="1"/>
  <c r="O6" i="6" s="1"/>
  <c r="T40" i="61"/>
  <c r="T43" i="61" s="1"/>
  <c r="T6" i="52" s="1"/>
  <c r="T29" i="61"/>
  <c r="T32" i="61" s="1"/>
  <c r="T6" i="6" s="1"/>
  <c r="C21" i="58"/>
  <c r="V43" i="58"/>
  <c r="V6" i="19" s="1"/>
  <c r="T43" i="58"/>
  <c r="T6" i="19" s="1"/>
  <c r="L42" i="58"/>
  <c r="L43" i="58" s="1"/>
  <c r="L6" i="19" s="1"/>
  <c r="L31" i="58"/>
  <c r="AD43" i="58"/>
  <c r="AD6" i="19" s="1"/>
  <c r="D42" i="58"/>
  <c r="D43" i="58" s="1"/>
  <c r="D6" i="19" s="1"/>
  <c r="Y32" i="58"/>
  <c r="X42" i="58"/>
  <c r="X43" i="58" s="1"/>
  <c r="X6" i="19" s="1"/>
  <c r="X31" i="58"/>
  <c r="X32" i="58" s="1"/>
  <c r="AG32" i="58"/>
  <c r="U42" i="58"/>
  <c r="U43" i="58" s="1"/>
  <c r="U6" i="19" s="1"/>
  <c r="U31" i="58"/>
  <c r="U32" i="58" s="1"/>
  <c r="Y43" i="58"/>
  <c r="Y6" i="19" s="1"/>
  <c r="R43" i="58"/>
  <c r="R6" i="19" s="1"/>
  <c r="G43" i="58"/>
  <c r="G6" i="19" s="1"/>
  <c r="AE43" i="58"/>
  <c r="AE6" i="19" s="1"/>
  <c r="C29" i="58"/>
  <c r="H40" i="58"/>
  <c r="C40" i="58" s="1"/>
  <c r="H29" i="58"/>
  <c r="AG43" i="58"/>
  <c r="AG6" i="19" s="1"/>
  <c r="H42" i="58"/>
  <c r="H31" i="58"/>
  <c r="AC42" i="58"/>
  <c r="AC43" i="58" s="1"/>
  <c r="AC6" i="19" s="1"/>
  <c r="AC31" i="58"/>
  <c r="AC32" i="58" s="1"/>
  <c r="F43" i="58"/>
  <c r="F6" i="19" s="1"/>
  <c r="L32" i="58"/>
  <c r="I43" i="58"/>
  <c r="I6" i="19" s="1"/>
  <c r="K31" i="58"/>
  <c r="K32" i="58" s="1"/>
  <c r="K42" i="58"/>
  <c r="K43" i="58" s="1"/>
  <c r="K6" i="19" s="1"/>
  <c r="C30" i="58"/>
  <c r="Z32" i="58"/>
  <c r="V32" i="58"/>
  <c r="AA43" i="58"/>
  <c r="AA6" i="19" s="1"/>
  <c r="AE32" i="58"/>
  <c r="D32" i="58"/>
  <c r="T32" i="58"/>
  <c r="AB42" i="58"/>
  <c r="AB43" i="58" s="1"/>
  <c r="AB6" i="19" s="1"/>
  <c r="AB31" i="58"/>
  <c r="AB32" i="58" s="1"/>
  <c r="O32" i="58"/>
  <c r="W31" i="58"/>
  <c r="W32" i="58" s="1"/>
  <c r="W42" i="58"/>
  <c r="W43" i="58" s="1"/>
  <c r="W6" i="19" s="1"/>
  <c r="C31" i="58" l="1"/>
  <c r="I19" i="36"/>
  <c r="AF19" i="6"/>
  <c r="Z19" i="6"/>
  <c r="AG6" i="36"/>
  <c r="AG19" i="36"/>
  <c r="J19" i="6"/>
  <c r="Q6" i="36"/>
  <c r="Q19" i="36"/>
  <c r="D19" i="36"/>
  <c r="D6" i="36"/>
  <c r="K19" i="36"/>
  <c r="K6" i="36"/>
  <c r="AE6" i="36"/>
  <c r="AE19" i="36"/>
  <c r="X6" i="36"/>
  <c r="X19" i="36"/>
  <c r="M19" i="6"/>
  <c r="X19" i="6"/>
  <c r="Y19" i="6"/>
  <c r="L19" i="6"/>
  <c r="AA19" i="6"/>
  <c r="H19" i="6"/>
  <c r="W6" i="36"/>
  <c r="W19" i="36"/>
  <c r="V6" i="36"/>
  <c r="V19" i="36"/>
  <c r="Y6" i="36"/>
  <c r="Y19" i="36"/>
  <c r="D19" i="6"/>
  <c r="U19" i="6"/>
  <c r="R19" i="6"/>
  <c r="V19" i="6"/>
  <c r="AA19" i="36"/>
  <c r="AA6" i="36"/>
  <c r="M6" i="36"/>
  <c r="M19" i="36"/>
  <c r="S19" i="6"/>
  <c r="O6" i="36"/>
  <c r="O19" i="36"/>
  <c r="P19" i="6"/>
  <c r="Z19" i="36"/>
  <c r="Z6" i="36"/>
  <c r="U6" i="36"/>
  <c r="U19" i="36"/>
  <c r="K19" i="6"/>
  <c r="O19" i="6"/>
  <c r="AE19" i="6"/>
  <c r="AD19" i="6"/>
  <c r="W19" i="6"/>
  <c r="Q19" i="6"/>
  <c r="S19" i="36"/>
  <c r="S6" i="36"/>
  <c r="F6" i="36"/>
  <c r="F19" i="36"/>
  <c r="P6" i="36"/>
  <c r="P19" i="36"/>
  <c r="T19" i="6"/>
  <c r="AG19" i="6"/>
  <c r="AB6" i="36"/>
  <c r="AB19" i="36"/>
  <c r="L6" i="36"/>
  <c r="L19" i="36"/>
  <c r="T6" i="36"/>
  <c r="T19" i="36"/>
  <c r="AC6" i="36"/>
  <c r="AC19" i="36"/>
  <c r="C38" i="58"/>
  <c r="I19" i="6"/>
  <c r="AB19" i="6"/>
  <c r="G6" i="36"/>
  <c r="G19" i="36"/>
  <c r="F19" i="6"/>
  <c r="D43" i="61"/>
  <c r="C40" i="61"/>
  <c r="C38" i="61"/>
  <c r="C32" i="61"/>
  <c r="C6" i="7" s="1"/>
  <c r="C29" i="61"/>
  <c r="H32" i="58"/>
  <c r="C41" i="58"/>
  <c r="C32" i="58"/>
  <c r="C6" i="35" s="1"/>
  <c r="H43" i="58"/>
  <c r="C42" i="58"/>
  <c r="C43" i="58" l="1"/>
  <c r="H6" i="19"/>
  <c r="D34" i="32" s="1"/>
  <c r="C43" i="61"/>
  <c r="D6" i="52"/>
  <c r="H6" i="36"/>
  <c r="D24" i="32" s="1"/>
  <c r="H19" i="36"/>
  <c r="AG8" i="6" l="1"/>
  <c r="C4" i="7" s="1"/>
  <c r="AG22" i="6" l="1"/>
  <c r="K5" i="52"/>
  <c r="L5" i="52"/>
  <c r="M5" i="52"/>
  <c r="N5" i="52"/>
  <c r="O5" i="52"/>
  <c r="P5" i="52"/>
  <c r="Q5" i="52"/>
  <c r="R5" i="52"/>
  <c r="S5" i="52"/>
  <c r="T5" i="52"/>
  <c r="U5" i="52"/>
  <c r="V5" i="52"/>
  <c r="W5" i="52"/>
  <c r="X5" i="52"/>
  <c r="Y5" i="52"/>
  <c r="Z5" i="52"/>
  <c r="AA5" i="52"/>
  <c r="AB5" i="52"/>
  <c r="AC5" i="52"/>
  <c r="AD5" i="52"/>
  <c r="AE5" i="52"/>
  <c r="AF5" i="52"/>
  <c r="AG5" i="52"/>
  <c r="D4" i="52"/>
  <c r="AF4" i="52" s="1"/>
  <c r="D4" i="51"/>
  <c r="AG4" i="51" s="1"/>
  <c r="F67" i="50"/>
  <c r="C67" i="50"/>
  <c r="F66" i="50"/>
  <c r="C32" i="50" s="1"/>
  <c r="C66" i="50"/>
  <c r="F65" i="50"/>
  <c r="C31" i="50" s="1"/>
  <c r="C65" i="50"/>
  <c r="F62" i="50"/>
  <c r="C42" i="50" s="1"/>
  <c r="AA42" i="50" s="1"/>
  <c r="C62" i="50"/>
  <c r="F61" i="50"/>
  <c r="C61" i="50"/>
  <c r="F60" i="50"/>
  <c r="C40" i="50" s="1"/>
  <c r="C60" i="50"/>
  <c r="F56" i="50"/>
  <c r="F55" i="50"/>
  <c r="F54" i="50"/>
  <c r="E49" i="50"/>
  <c r="D31" i="50" s="1"/>
  <c r="E48" i="50"/>
  <c r="D40" i="50" s="1"/>
  <c r="AA41" i="50"/>
  <c r="C41" i="50"/>
  <c r="AC41" i="50" s="1"/>
  <c r="C33" i="50"/>
  <c r="W33" i="50" s="1"/>
  <c r="B33" i="50"/>
  <c r="B32" i="50"/>
  <c r="B31" i="50"/>
  <c r="B24" i="50"/>
  <c r="B23" i="50"/>
  <c r="B22" i="50"/>
  <c r="D16" i="50"/>
  <c r="B16" i="50"/>
  <c r="D15" i="50"/>
  <c r="B15" i="50"/>
  <c r="B14" i="50"/>
  <c r="H2" i="50"/>
  <c r="I2" i="50" s="1"/>
  <c r="J2" i="50" s="1"/>
  <c r="K2" i="50" s="1"/>
  <c r="L2" i="50" s="1"/>
  <c r="M2" i="50" s="1"/>
  <c r="N2" i="50" s="1"/>
  <c r="O2" i="50" s="1"/>
  <c r="P2" i="50" s="1"/>
  <c r="Q2" i="50" s="1"/>
  <c r="R2" i="50" s="1"/>
  <c r="S2" i="50" s="1"/>
  <c r="T2" i="50" s="1"/>
  <c r="U2" i="50" s="1"/>
  <c r="V2" i="50" s="1"/>
  <c r="W2" i="50" s="1"/>
  <c r="X2" i="50" s="1"/>
  <c r="Y2" i="50" s="1"/>
  <c r="Z2" i="50" s="1"/>
  <c r="AA2" i="50" s="1"/>
  <c r="AB2" i="50" s="1"/>
  <c r="AC2" i="50" s="1"/>
  <c r="AD2" i="50" s="1"/>
  <c r="AE2" i="50" s="1"/>
  <c r="AF2" i="50" s="1"/>
  <c r="AG2" i="50" s="1"/>
  <c r="AH2" i="50" s="1"/>
  <c r="AI2" i="50" s="1"/>
  <c r="AJ2" i="50" s="1"/>
  <c r="D4" i="49"/>
  <c r="D60" i="48"/>
  <c r="D39" i="48" s="1"/>
  <c r="D18" i="48" s="1"/>
  <c r="C60" i="48"/>
  <c r="H42" i="48"/>
  <c r="I42" i="48" s="1"/>
  <c r="J42" i="48" s="1"/>
  <c r="K42" i="48" s="1"/>
  <c r="L42" i="48" s="1"/>
  <c r="H41" i="48"/>
  <c r="I41" i="48" s="1"/>
  <c r="J41" i="48" s="1"/>
  <c r="K41" i="48" s="1"/>
  <c r="L41" i="48" s="1"/>
  <c r="H40" i="48"/>
  <c r="I40" i="48" s="1"/>
  <c r="J40" i="48" s="1"/>
  <c r="K40" i="48" s="1"/>
  <c r="L40" i="48" s="1"/>
  <c r="M40" i="48" s="1"/>
  <c r="N40" i="48" s="1"/>
  <c r="O40" i="48" s="1"/>
  <c r="P40" i="48" s="1"/>
  <c r="Q40" i="48" s="1"/>
  <c r="R40" i="48" s="1"/>
  <c r="S40" i="48" s="1"/>
  <c r="T40" i="48" s="1"/>
  <c r="U40" i="48" s="1"/>
  <c r="V40" i="48" s="1"/>
  <c r="W40" i="48" s="1"/>
  <c r="X40" i="48" s="1"/>
  <c r="Y40" i="48" s="1"/>
  <c r="Z40" i="48" s="1"/>
  <c r="AA40" i="48" s="1"/>
  <c r="AB40" i="48" s="1"/>
  <c r="AC40" i="48" s="1"/>
  <c r="AD40" i="48" s="1"/>
  <c r="AE40" i="48" s="1"/>
  <c r="AF40" i="48" s="1"/>
  <c r="AG40" i="48" s="1"/>
  <c r="AH40" i="48" s="1"/>
  <c r="AI40" i="48" s="1"/>
  <c r="AJ40" i="48" s="1"/>
  <c r="H39" i="48"/>
  <c r="I39" i="48" s="1"/>
  <c r="J39" i="48" s="1"/>
  <c r="G36" i="48"/>
  <c r="G6" i="48" s="1"/>
  <c r="C36" i="48"/>
  <c r="B31" i="48"/>
  <c r="B30" i="48"/>
  <c r="B29" i="48"/>
  <c r="B28" i="48"/>
  <c r="C21" i="48"/>
  <c r="B21" i="48"/>
  <c r="C20" i="48"/>
  <c r="B20" i="48"/>
  <c r="C19" i="48"/>
  <c r="B19" i="48"/>
  <c r="C18" i="48"/>
  <c r="B18" i="48"/>
  <c r="D14" i="48"/>
  <c r="C14" i="48"/>
  <c r="D10" i="48"/>
  <c r="D9" i="48"/>
  <c r="D8" i="48"/>
  <c r="D7" i="48"/>
  <c r="H2" i="48"/>
  <c r="I2" i="48" s="1"/>
  <c r="J2" i="48" s="1"/>
  <c r="K2" i="48" s="1"/>
  <c r="L2" i="48" s="1"/>
  <c r="M2" i="48" s="1"/>
  <c r="N2" i="48" s="1"/>
  <c r="O2" i="48" s="1"/>
  <c r="P2" i="48" s="1"/>
  <c r="Q2" i="48" s="1"/>
  <c r="R2" i="48" s="1"/>
  <c r="S2" i="48" s="1"/>
  <c r="T2" i="48" s="1"/>
  <c r="U2" i="48" s="1"/>
  <c r="V2" i="48" s="1"/>
  <c r="W2" i="48" s="1"/>
  <c r="X2" i="48" s="1"/>
  <c r="Y2" i="48" s="1"/>
  <c r="Z2" i="48" s="1"/>
  <c r="AA2" i="48" s="1"/>
  <c r="AB2" i="48" s="1"/>
  <c r="AC2" i="48" s="1"/>
  <c r="AD2" i="48" s="1"/>
  <c r="AE2" i="48" s="1"/>
  <c r="AF2" i="48" s="1"/>
  <c r="AG2" i="48" s="1"/>
  <c r="AH2" i="48" s="1"/>
  <c r="AI2" i="48" s="1"/>
  <c r="AJ2" i="48" s="1"/>
  <c r="AG53" i="6"/>
  <c r="AG37" i="6"/>
  <c r="AG5" i="6"/>
  <c r="AG19" i="7"/>
  <c r="AH19" i="7"/>
  <c r="AI19" i="7"/>
  <c r="AJ19" i="7"/>
  <c r="AK19" i="7"/>
  <c r="AL19" i="7"/>
  <c r="AM19" i="7"/>
  <c r="AN19" i="7"/>
  <c r="AO19" i="7"/>
  <c r="AP19" i="7"/>
  <c r="AQ19" i="7"/>
  <c r="AG15" i="4"/>
  <c r="AG49" i="6" s="1"/>
  <c r="AG50" i="6" s="1"/>
  <c r="AG7" i="4"/>
  <c r="AG21" i="4"/>
  <c r="AG22" i="4"/>
  <c r="F67" i="44"/>
  <c r="C33" i="44" s="1"/>
  <c r="C67" i="44"/>
  <c r="F66" i="44"/>
  <c r="C32" i="44" s="1"/>
  <c r="C66" i="44"/>
  <c r="F65" i="44"/>
  <c r="C31" i="44" s="1"/>
  <c r="C65" i="44"/>
  <c r="F62" i="44"/>
  <c r="C42" i="44" s="1"/>
  <c r="C62" i="44"/>
  <c r="F61" i="44"/>
  <c r="C41" i="44" s="1"/>
  <c r="Z41" i="44" s="1"/>
  <c r="C61" i="44"/>
  <c r="F60" i="44"/>
  <c r="C40" i="44" s="1"/>
  <c r="C60" i="44"/>
  <c r="F56" i="44"/>
  <c r="F54" i="44"/>
  <c r="E49" i="44"/>
  <c r="D31" i="44" s="1"/>
  <c r="E48" i="44"/>
  <c r="B33" i="44"/>
  <c r="B32" i="44"/>
  <c r="B31" i="44"/>
  <c r="B24" i="44"/>
  <c r="B23" i="44"/>
  <c r="B22" i="44"/>
  <c r="D16" i="44"/>
  <c r="B16" i="44"/>
  <c r="D15" i="44"/>
  <c r="B15" i="44"/>
  <c r="B14" i="44"/>
  <c r="H2" i="44"/>
  <c r="I2" i="44" s="1"/>
  <c r="J2" i="44" s="1"/>
  <c r="K2" i="44" s="1"/>
  <c r="L2" i="44" s="1"/>
  <c r="M2" i="44" s="1"/>
  <c r="N2" i="44" s="1"/>
  <c r="O2" i="44" s="1"/>
  <c r="P2" i="44" s="1"/>
  <c r="Q2" i="44" s="1"/>
  <c r="R2" i="44" s="1"/>
  <c r="S2" i="44" s="1"/>
  <c r="T2" i="44" s="1"/>
  <c r="U2" i="44" s="1"/>
  <c r="V2" i="44" s="1"/>
  <c r="W2" i="44" s="1"/>
  <c r="X2" i="44" s="1"/>
  <c r="Y2" i="44" s="1"/>
  <c r="Z2" i="44" s="1"/>
  <c r="AA2" i="44" s="1"/>
  <c r="AB2" i="44" s="1"/>
  <c r="AC2" i="44" s="1"/>
  <c r="AD2" i="44" s="1"/>
  <c r="AE2" i="44" s="1"/>
  <c r="AF2" i="44" s="1"/>
  <c r="AG2" i="44" s="1"/>
  <c r="AH2" i="44" s="1"/>
  <c r="AI2" i="44" s="1"/>
  <c r="AJ2" i="44" s="1"/>
  <c r="D36" i="48" l="1"/>
  <c r="E50" i="44"/>
  <c r="AE31" i="44"/>
  <c r="K4" i="52"/>
  <c r="R31" i="50"/>
  <c r="E50" i="50"/>
  <c r="U41" i="50"/>
  <c r="J4" i="52"/>
  <c r="AI41" i="50"/>
  <c r="P4" i="52"/>
  <c r="AI31" i="44"/>
  <c r="S31" i="50"/>
  <c r="AJ41" i="50"/>
  <c r="Q4" i="52"/>
  <c r="U4" i="52"/>
  <c r="AG54" i="6"/>
  <c r="AG55" i="6" s="1"/>
  <c r="P4" i="51"/>
  <c r="I4" i="51"/>
  <c r="W4" i="51"/>
  <c r="AD33" i="50"/>
  <c r="AH42" i="50"/>
  <c r="AA4" i="51"/>
  <c r="AI42" i="50"/>
  <c r="W4" i="52"/>
  <c r="K31" i="50"/>
  <c r="L41" i="50"/>
  <c r="D14" i="50"/>
  <c r="E4" i="52"/>
  <c r="AA4" i="52"/>
  <c r="M41" i="50"/>
  <c r="G4" i="52"/>
  <c r="AG4" i="52"/>
  <c r="H4" i="52"/>
  <c r="M4" i="52"/>
  <c r="R4" i="52"/>
  <c r="X4" i="52"/>
  <c r="AC4" i="52"/>
  <c r="I4" i="52"/>
  <c r="O4" i="52"/>
  <c r="S4" i="52"/>
  <c r="Y4" i="52"/>
  <c r="AE4" i="52"/>
  <c r="Z4" i="52"/>
  <c r="J4" i="51"/>
  <c r="Q4" i="51"/>
  <c r="AE4" i="51"/>
  <c r="G4" i="51"/>
  <c r="K4" i="51"/>
  <c r="R4" i="51"/>
  <c r="Y4" i="51"/>
  <c r="AF4" i="51"/>
  <c r="X4" i="51"/>
  <c r="H4" i="51"/>
  <c r="O4" i="51"/>
  <c r="S4" i="51"/>
  <c r="Z4" i="51"/>
  <c r="U40" i="50"/>
  <c r="M40" i="50"/>
  <c r="T40" i="50"/>
  <c r="AC40" i="50"/>
  <c r="L40" i="50"/>
  <c r="AB40" i="50"/>
  <c r="AI32" i="50"/>
  <c r="AE32" i="50"/>
  <c r="X32" i="50"/>
  <c r="Q32" i="50"/>
  <c r="O32" i="50"/>
  <c r="AH32" i="50"/>
  <c r="AA32" i="50"/>
  <c r="AA15" i="50" s="1"/>
  <c r="W32" i="50"/>
  <c r="P32" i="50"/>
  <c r="C15" i="50"/>
  <c r="AG32" i="50"/>
  <c r="S32" i="50"/>
  <c r="K32" i="50"/>
  <c r="Z32" i="50"/>
  <c r="Y32" i="50"/>
  <c r="AF32" i="50"/>
  <c r="R32" i="50"/>
  <c r="AE33" i="50"/>
  <c r="V33" i="50"/>
  <c r="S41" i="50"/>
  <c r="S15" i="50" s="1"/>
  <c r="AB41" i="50"/>
  <c r="Z42" i="50"/>
  <c r="K41" i="50"/>
  <c r="T41" i="50"/>
  <c r="K39" i="48"/>
  <c r="L39" i="48" s="1"/>
  <c r="L18" i="48" s="1"/>
  <c r="J36" i="48"/>
  <c r="J6" i="48" s="1"/>
  <c r="H18" i="48"/>
  <c r="K19" i="48"/>
  <c r="O19" i="48"/>
  <c r="S19" i="48"/>
  <c r="W19" i="48"/>
  <c r="AA19" i="48"/>
  <c r="AE19" i="48"/>
  <c r="AI19" i="48"/>
  <c r="J20" i="48"/>
  <c r="I21" i="48"/>
  <c r="G21" i="48"/>
  <c r="I18" i="48"/>
  <c r="H19" i="48"/>
  <c r="L19" i="48"/>
  <c r="P19" i="48"/>
  <c r="T19" i="48"/>
  <c r="X19" i="48"/>
  <c r="AB19" i="48"/>
  <c r="AF19" i="48"/>
  <c r="AJ19" i="48"/>
  <c r="K20" i="48"/>
  <c r="J21" i="48"/>
  <c r="G20" i="48"/>
  <c r="D15" i="48"/>
  <c r="J18" i="48"/>
  <c r="J15" i="48" s="1"/>
  <c r="J4" i="48" s="1"/>
  <c r="G5" i="49" s="1"/>
  <c r="I19" i="48"/>
  <c r="M19" i="48"/>
  <c r="Q19" i="48"/>
  <c r="U19" i="48"/>
  <c r="Y19" i="48"/>
  <c r="AC19" i="48"/>
  <c r="AG19" i="48"/>
  <c r="H20" i="48"/>
  <c r="L20" i="48"/>
  <c r="K21" i="48"/>
  <c r="Z19" i="48"/>
  <c r="J19" i="48"/>
  <c r="G18" i="48"/>
  <c r="H21" i="48"/>
  <c r="I20" i="48"/>
  <c r="V19" i="48"/>
  <c r="I36" i="48"/>
  <c r="I6" i="48" s="1"/>
  <c r="G19" i="48"/>
  <c r="AH19" i="48"/>
  <c r="R19" i="48"/>
  <c r="C15" i="48"/>
  <c r="L21" i="48"/>
  <c r="AD19" i="48"/>
  <c r="N19" i="48"/>
  <c r="K18" i="48"/>
  <c r="H36" i="48"/>
  <c r="H6" i="48" s="1"/>
  <c r="AG23" i="4"/>
  <c r="AG31" i="44"/>
  <c r="Q31" i="44"/>
  <c r="L4" i="52"/>
  <c r="T4" i="52"/>
  <c r="AB4" i="52"/>
  <c r="F4" i="52"/>
  <c r="N4" i="52"/>
  <c r="V4" i="52"/>
  <c r="AD4" i="52"/>
  <c r="L4" i="51"/>
  <c r="T4" i="51"/>
  <c r="AB4" i="51"/>
  <c r="E4" i="51"/>
  <c r="M4" i="51"/>
  <c r="U4" i="51"/>
  <c r="AC4" i="51"/>
  <c r="F4" i="51"/>
  <c r="N4" i="51"/>
  <c r="V4" i="51"/>
  <c r="AD4" i="51"/>
  <c r="L31" i="50"/>
  <c r="L14" i="50" s="1"/>
  <c r="AF42" i="50"/>
  <c r="X42" i="50"/>
  <c r="P42" i="50"/>
  <c r="H42" i="50"/>
  <c r="U42" i="50"/>
  <c r="AE42" i="50"/>
  <c r="AE16" i="50" s="1"/>
  <c r="W42" i="50"/>
  <c r="W16" i="50" s="1"/>
  <c r="O42" i="50"/>
  <c r="G42" i="50"/>
  <c r="M42" i="50"/>
  <c r="T42" i="50"/>
  <c r="AD42" i="50"/>
  <c r="V42" i="50"/>
  <c r="N42" i="50"/>
  <c r="AJ42" i="50"/>
  <c r="AB42" i="50"/>
  <c r="AC42" i="50"/>
  <c r="AG42" i="50"/>
  <c r="Y42" i="50"/>
  <c r="Q42" i="50"/>
  <c r="I42" i="50"/>
  <c r="L42" i="50"/>
  <c r="L7" i="50" s="1"/>
  <c r="AF31" i="50"/>
  <c r="X31" i="50"/>
  <c r="P31" i="50"/>
  <c r="M31" i="50"/>
  <c r="T31" i="50"/>
  <c r="AE31" i="50"/>
  <c r="W31" i="50"/>
  <c r="W6" i="50" s="1"/>
  <c r="O31" i="50"/>
  <c r="AB31" i="50"/>
  <c r="AB14" i="50" s="1"/>
  <c r="AD31" i="50"/>
  <c r="V31" i="50"/>
  <c r="N31" i="50"/>
  <c r="AC31" i="50"/>
  <c r="AG31" i="50"/>
  <c r="Y31" i="50"/>
  <c r="Q31" i="50"/>
  <c r="C14" i="50"/>
  <c r="U31" i="50"/>
  <c r="AJ31" i="50"/>
  <c r="Z31" i="50"/>
  <c r="AJ33" i="50"/>
  <c r="AB33" i="50"/>
  <c r="T33" i="50"/>
  <c r="L33" i="50"/>
  <c r="Y33" i="50"/>
  <c r="AF33" i="50"/>
  <c r="AI33" i="50"/>
  <c r="AI16" i="50" s="1"/>
  <c r="AA33" i="50"/>
  <c r="AA16" i="50" s="1"/>
  <c r="S33" i="50"/>
  <c r="K33" i="50"/>
  <c r="C16" i="50"/>
  <c r="Q33" i="50"/>
  <c r="AH33" i="50"/>
  <c r="Z33" i="50"/>
  <c r="R33" i="50"/>
  <c r="R6" i="50" s="1"/>
  <c r="AG33" i="50"/>
  <c r="AC33" i="50"/>
  <c r="U33" i="50"/>
  <c r="M33" i="50"/>
  <c r="X33" i="50"/>
  <c r="P33" i="50"/>
  <c r="J42" i="50"/>
  <c r="AA31" i="50"/>
  <c r="AA6" i="50" s="1"/>
  <c r="K42" i="50"/>
  <c r="AH31" i="50"/>
  <c r="N33" i="50"/>
  <c r="R42" i="50"/>
  <c r="AI31" i="50"/>
  <c r="AI6" i="50" s="1"/>
  <c r="O33" i="50"/>
  <c r="AH40" i="50"/>
  <c r="Z40" i="50"/>
  <c r="R40" i="50"/>
  <c r="J40" i="50"/>
  <c r="G40" i="50"/>
  <c r="N40" i="50"/>
  <c r="AG40" i="50"/>
  <c r="Y40" i="50"/>
  <c r="Q40" i="50"/>
  <c r="I40" i="50"/>
  <c r="W40" i="50"/>
  <c r="AF40" i="50"/>
  <c r="X40" i="50"/>
  <c r="P40" i="50"/>
  <c r="H40" i="50"/>
  <c r="AE40" i="50"/>
  <c r="AD40" i="50"/>
  <c r="AI40" i="50"/>
  <c r="AA40" i="50"/>
  <c r="S40" i="50"/>
  <c r="K40" i="50"/>
  <c r="O40" i="50"/>
  <c r="V40" i="50"/>
  <c r="AJ40" i="50"/>
  <c r="S42" i="50"/>
  <c r="J41" i="50"/>
  <c r="R41" i="50"/>
  <c r="Z41" i="50"/>
  <c r="AH41" i="50"/>
  <c r="N41" i="50"/>
  <c r="V41" i="50"/>
  <c r="AD41" i="50"/>
  <c r="L32" i="50"/>
  <c r="L15" i="50" s="1"/>
  <c r="T32" i="50"/>
  <c r="T15" i="50" s="1"/>
  <c r="AB32" i="50"/>
  <c r="AB15" i="50" s="1"/>
  <c r="AJ32" i="50"/>
  <c r="AJ15" i="50" s="1"/>
  <c r="G41" i="50"/>
  <c r="O41" i="50"/>
  <c r="W41" i="50"/>
  <c r="W15" i="50" s="1"/>
  <c r="AE41" i="50"/>
  <c r="M32" i="50"/>
  <c r="M15" i="50" s="1"/>
  <c r="U32" i="50"/>
  <c r="U15" i="50" s="1"/>
  <c r="AC32" i="50"/>
  <c r="AC15" i="50" s="1"/>
  <c r="H41" i="50"/>
  <c r="P41" i="50"/>
  <c r="P15" i="50" s="1"/>
  <c r="X41" i="50"/>
  <c r="AF41" i="50"/>
  <c r="AF15" i="50" s="1"/>
  <c r="N32" i="50"/>
  <c r="V32" i="50"/>
  <c r="AD32" i="50"/>
  <c r="I41" i="50"/>
  <c r="Q41" i="50"/>
  <c r="Y41" i="50"/>
  <c r="Y15" i="50" s="1"/>
  <c r="AG41" i="50"/>
  <c r="L4" i="49"/>
  <c r="T4" i="49"/>
  <c r="AB4" i="49"/>
  <c r="E4" i="49"/>
  <c r="M4" i="49"/>
  <c r="U4" i="49"/>
  <c r="AC4" i="49"/>
  <c r="F4" i="49"/>
  <c r="N4" i="49"/>
  <c r="V4" i="49"/>
  <c r="AD4" i="49"/>
  <c r="W4" i="49"/>
  <c r="O4" i="49"/>
  <c r="P4" i="49"/>
  <c r="I4" i="49"/>
  <c r="Q4" i="49"/>
  <c r="Y4" i="49"/>
  <c r="AG4" i="49"/>
  <c r="H4" i="49"/>
  <c r="AF4" i="49"/>
  <c r="J4" i="49"/>
  <c r="R4" i="49"/>
  <c r="Z4" i="49"/>
  <c r="G4" i="49"/>
  <c r="AE4" i="49"/>
  <c r="X4" i="49"/>
  <c r="K4" i="49"/>
  <c r="S4" i="49"/>
  <c r="AA4" i="49"/>
  <c r="K36" i="48"/>
  <c r="K6" i="48" s="1"/>
  <c r="M41" i="48"/>
  <c r="M20" i="48" s="1"/>
  <c r="M42" i="48"/>
  <c r="N42" i="48" s="1"/>
  <c r="O42" i="48" s="1"/>
  <c r="O21" i="48" s="1"/>
  <c r="V33" i="44"/>
  <c r="C14" i="44"/>
  <c r="S31" i="44"/>
  <c r="AD42" i="44"/>
  <c r="V42" i="44"/>
  <c r="N42" i="44"/>
  <c r="AC42" i="44"/>
  <c r="U42" i="44"/>
  <c r="M42" i="44"/>
  <c r="AJ42" i="44"/>
  <c r="AB42" i="44"/>
  <c r="T42" i="44"/>
  <c r="L42" i="44"/>
  <c r="AI42" i="44"/>
  <c r="AA42" i="44"/>
  <c r="S42" i="44"/>
  <c r="K42" i="44"/>
  <c r="AF42" i="44"/>
  <c r="X42" i="44"/>
  <c r="P42" i="44"/>
  <c r="H42" i="44"/>
  <c r="AE42" i="44"/>
  <c r="W42" i="44"/>
  <c r="O42" i="44"/>
  <c r="G42" i="44"/>
  <c r="J42" i="44"/>
  <c r="I42" i="44"/>
  <c r="AG42" i="44"/>
  <c r="Z42" i="44"/>
  <c r="AH42" i="44"/>
  <c r="Y42" i="44"/>
  <c r="R42" i="44"/>
  <c r="Q42" i="44"/>
  <c r="AH40" i="44"/>
  <c r="AJ32" i="44"/>
  <c r="AB32" i="44"/>
  <c r="T32" i="44"/>
  <c r="L32" i="44"/>
  <c r="AI32" i="44"/>
  <c r="AA32" i="44"/>
  <c r="S32" i="44"/>
  <c r="K32" i="44"/>
  <c r="AG32" i="44"/>
  <c r="AH32" i="44"/>
  <c r="Z32" i="44"/>
  <c r="Z15" i="44" s="1"/>
  <c r="R32" i="44"/>
  <c r="C15" i="44"/>
  <c r="Y32" i="44"/>
  <c r="AD32" i="44"/>
  <c r="V32" i="44"/>
  <c r="N32" i="44"/>
  <c r="U32" i="44"/>
  <c r="M32" i="44"/>
  <c r="AC32" i="44"/>
  <c r="Q32" i="44"/>
  <c r="AF32" i="44"/>
  <c r="AE32" i="44"/>
  <c r="P32" i="44"/>
  <c r="O32" i="44"/>
  <c r="X32" i="44"/>
  <c r="W32" i="44"/>
  <c r="AE41" i="44"/>
  <c r="W41" i="44"/>
  <c r="O41" i="44"/>
  <c r="G41" i="44"/>
  <c r="AD41" i="44"/>
  <c r="V41" i="44"/>
  <c r="N41" i="44"/>
  <c r="AC41" i="44"/>
  <c r="U41" i="44"/>
  <c r="M41" i="44"/>
  <c r="AJ41" i="44"/>
  <c r="AB41" i="44"/>
  <c r="T41" i="44"/>
  <c r="L41" i="44"/>
  <c r="AG41" i="44"/>
  <c r="Y41" i="44"/>
  <c r="Q41" i="44"/>
  <c r="I41" i="44"/>
  <c r="AF41" i="44"/>
  <c r="X41" i="44"/>
  <c r="P41" i="44"/>
  <c r="P15" i="44" s="1"/>
  <c r="H41" i="44"/>
  <c r="C16" i="44"/>
  <c r="R31" i="44"/>
  <c r="AH31" i="44"/>
  <c r="AA33" i="44"/>
  <c r="AA41" i="44"/>
  <c r="AA15" i="44" s="1"/>
  <c r="AH33" i="44"/>
  <c r="Z33" i="44"/>
  <c r="R33" i="44"/>
  <c r="O33" i="44"/>
  <c r="AG33" i="44"/>
  <c r="Y33" i="44"/>
  <c r="Q33" i="44"/>
  <c r="W33" i="44"/>
  <c r="AF33" i="44"/>
  <c r="X33" i="44"/>
  <c r="P33" i="44"/>
  <c r="AE33" i="44"/>
  <c r="AJ33" i="44"/>
  <c r="AB33" i="44"/>
  <c r="T33" i="44"/>
  <c r="L33" i="44"/>
  <c r="AC33" i="44"/>
  <c r="AI33" i="44"/>
  <c r="Z31" i="44"/>
  <c r="N33" i="44"/>
  <c r="K41" i="44"/>
  <c r="D40" i="44"/>
  <c r="D14" i="44" s="1"/>
  <c r="AD33" i="44"/>
  <c r="AI41" i="44"/>
  <c r="J41" i="44"/>
  <c r="K31" i="44"/>
  <c r="AA31" i="44"/>
  <c r="S33" i="44"/>
  <c r="R41" i="44"/>
  <c r="AH41" i="44"/>
  <c r="W31" i="44"/>
  <c r="K33" i="44"/>
  <c r="Y31" i="44"/>
  <c r="M33" i="44"/>
  <c r="O31" i="44"/>
  <c r="U33" i="44"/>
  <c r="S41" i="44"/>
  <c r="F55" i="44"/>
  <c r="AD31" i="44"/>
  <c r="V31" i="44"/>
  <c r="N31" i="44"/>
  <c r="AB31" i="44"/>
  <c r="AC31" i="44"/>
  <c r="U31" i="44"/>
  <c r="M31" i="44"/>
  <c r="AJ31" i="44"/>
  <c r="T31" i="44"/>
  <c r="L31" i="44"/>
  <c r="AF31" i="44"/>
  <c r="X31" i="44"/>
  <c r="P31" i="44"/>
  <c r="AC14" i="50" l="1"/>
  <c r="I15" i="48"/>
  <c r="I4" i="48" s="1"/>
  <c r="F5" i="49" s="1"/>
  <c r="F6" i="49" s="1"/>
  <c r="AE15" i="50"/>
  <c r="U7" i="50"/>
  <c r="V15" i="44"/>
  <c r="Z16" i="50"/>
  <c r="AB7" i="50"/>
  <c r="V16" i="50"/>
  <c r="R15" i="50"/>
  <c r="K16" i="50"/>
  <c r="AH6" i="50"/>
  <c r="AE6" i="50"/>
  <c r="AI15" i="50"/>
  <c r="P6" i="44"/>
  <c r="AG15" i="44"/>
  <c r="AC15" i="44"/>
  <c r="S6" i="50"/>
  <c r="H15" i="48"/>
  <c r="H4" i="48" s="1"/>
  <c r="E5" i="49" s="1"/>
  <c r="E7" i="49" s="1"/>
  <c r="O15" i="50"/>
  <c r="S40" i="44"/>
  <c r="S14" i="44" s="1"/>
  <c r="AH15" i="50"/>
  <c r="L6" i="44"/>
  <c r="AB40" i="44"/>
  <c r="Q15" i="50"/>
  <c r="Z15" i="50"/>
  <c r="AH16" i="50"/>
  <c r="AF6" i="50"/>
  <c r="K15" i="50"/>
  <c r="K6" i="50"/>
  <c r="T7" i="50"/>
  <c r="M14" i="50"/>
  <c r="M7" i="50"/>
  <c r="G15" i="48"/>
  <c r="G4" i="48" s="1"/>
  <c r="D5" i="49" s="1"/>
  <c r="D6" i="49" s="1"/>
  <c r="N21" i="48"/>
  <c r="AD16" i="50"/>
  <c r="X15" i="50"/>
  <c r="R16" i="50"/>
  <c r="U40" i="44"/>
  <c r="Q15" i="44"/>
  <c r="AG15" i="50"/>
  <c r="N6" i="50"/>
  <c r="AC16" i="50"/>
  <c r="AC4" i="50" s="1"/>
  <c r="Z5" i="51" s="1"/>
  <c r="U16" i="50"/>
  <c r="U6" i="50"/>
  <c r="AD6" i="50"/>
  <c r="M21" i="48"/>
  <c r="AG7" i="6"/>
  <c r="AG33" i="6" s="1"/>
  <c r="AG34" i="6" s="1"/>
  <c r="AG21" i="6"/>
  <c r="AG23" i="6" s="1"/>
  <c r="AB6" i="44"/>
  <c r="AH15" i="44"/>
  <c r="AG6" i="44"/>
  <c r="I40" i="44"/>
  <c r="I31" i="44" s="1"/>
  <c r="AE40" i="44"/>
  <c r="AE7" i="44" s="1"/>
  <c r="S6" i="44"/>
  <c r="T6" i="44"/>
  <c r="AG16" i="44"/>
  <c r="M6" i="44"/>
  <c r="S15" i="44"/>
  <c r="AD15" i="44"/>
  <c r="T40" i="44"/>
  <c r="T7" i="44" s="1"/>
  <c r="Z40" i="44"/>
  <c r="H40" i="44"/>
  <c r="H7" i="44" s="1"/>
  <c r="G8" i="49"/>
  <c r="G6" i="49"/>
  <c r="G7" i="49"/>
  <c r="D7" i="49"/>
  <c r="F8" i="49"/>
  <c r="F7" i="49"/>
  <c r="L15" i="48"/>
  <c r="L4" i="48" s="1"/>
  <c r="I5" i="49" s="1"/>
  <c r="K15" i="48"/>
  <c r="K4" i="48" s="1"/>
  <c r="H5" i="49" s="1"/>
  <c r="G32" i="50"/>
  <c r="G15" i="50" s="1"/>
  <c r="N15" i="50"/>
  <c r="I31" i="50"/>
  <c r="I7" i="50"/>
  <c r="AD15" i="50"/>
  <c r="S16" i="50"/>
  <c r="AI14" i="50"/>
  <c r="AI4" i="50" s="1"/>
  <c r="AF5" i="51" s="1"/>
  <c r="AI7" i="50"/>
  <c r="AF7" i="50"/>
  <c r="AF14" i="50"/>
  <c r="U14" i="50"/>
  <c r="AJ6" i="50"/>
  <c r="X6" i="50"/>
  <c r="AG16" i="50"/>
  <c r="O16" i="50"/>
  <c r="AF16" i="50"/>
  <c r="Q6" i="50"/>
  <c r="T6" i="50"/>
  <c r="Y6" i="50"/>
  <c r="AB16" i="50"/>
  <c r="AB4" i="50" s="1"/>
  <c r="Y5" i="51" s="1"/>
  <c r="V15" i="50"/>
  <c r="N7" i="50"/>
  <c r="N14" i="50"/>
  <c r="AD7" i="50"/>
  <c r="AD14" i="50"/>
  <c r="AE7" i="50"/>
  <c r="AE14" i="50"/>
  <c r="AE4" i="50" s="1"/>
  <c r="AB5" i="51" s="1"/>
  <c r="K14" i="50"/>
  <c r="K7" i="50"/>
  <c r="H31" i="50"/>
  <c r="H7" i="50"/>
  <c r="Q14" i="50"/>
  <c r="Q7" i="50"/>
  <c r="Z14" i="50"/>
  <c r="Z4" i="50" s="1"/>
  <c r="W5" i="51" s="1"/>
  <c r="Z7" i="50"/>
  <c r="AG6" i="50"/>
  <c r="M6" i="50"/>
  <c r="I33" i="50"/>
  <c r="I16" i="50" s="1"/>
  <c r="AJ16" i="50"/>
  <c r="H33" i="50"/>
  <c r="H16" i="50" s="1"/>
  <c r="AJ14" i="50"/>
  <c r="AJ7" i="50"/>
  <c r="V7" i="50"/>
  <c r="V14" i="50"/>
  <c r="G7" i="50"/>
  <c r="G31" i="50"/>
  <c r="G14" i="50" s="1"/>
  <c r="W7" i="50"/>
  <c r="W14" i="50"/>
  <c r="W4" i="50" s="1"/>
  <c r="T5" i="51" s="1"/>
  <c r="R14" i="50"/>
  <c r="R7" i="50"/>
  <c r="L16" i="50"/>
  <c r="L4" i="50" s="1"/>
  <c r="I5" i="51" s="1"/>
  <c r="I32" i="50"/>
  <c r="I15" i="50" s="1"/>
  <c r="S14" i="50"/>
  <c r="S4" i="50" s="1"/>
  <c r="P5" i="51" s="1"/>
  <c r="S7" i="50"/>
  <c r="P7" i="50"/>
  <c r="P14" i="50"/>
  <c r="Y14" i="50"/>
  <c r="Y7" i="50"/>
  <c r="AH14" i="50"/>
  <c r="AH7" i="50"/>
  <c r="AB6" i="50"/>
  <c r="T14" i="50"/>
  <c r="Q16" i="50"/>
  <c r="M16" i="50"/>
  <c r="M4" i="50" s="1"/>
  <c r="J5" i="51" s="1"/>
  <c r="P16" i="50"/>
  <c r="V6" i="50"/>
  <c r="J31" i="50"/>
  <c r="J7" i="50"/>
  <c r="O7" i="50"/>
  <c r="O14" i="50"/>
  <c r="AC7" i="50"/>
  <c r="T16" i="50"/>
  <c r="H32" i="50"/>
  <c r="H15" i="50" s="1"/>
  <c r="J32" i="50"/>
  <c r="J15" i="50" s="1"/>
  <c r="AA14" i="50"/>
  <c r="AA4" i="50" s="1"/>
  <c r="X5" i="51" s="1"/>
  <c r="AA7" i="50"/>
  <c r="X7" i="50"/>
  <c r="X14" i="50"/>
  <c r="AG14" i="50"/>
  <c r="AG7" i="50"/>
  <c r="J33" i="50"/>
  <c r="J16" i="50" s="1"/>
  <c r="Z6" i="50"/>
  <c r="AC6" i="50"/>
  <c r="O6" i="50"/>
  <c r="P6" i="50"/>
  <c r="Y16" i="50"/>
  <c r="N16" i="50"/>
  <c r="G33" i="50"/>
  <c r="G16" i="50" s="1"/>
  <c r="X16" i="50"/>
  <c r="L6" i="50"/>
  <c r="N41" i="48"/>
  <c r="N20" i="48" s="1"/>
  <c r="P42" i="48"/>
  <c r="P21" i="48" s="1"/>
  <c r="M39" i="48"/>
  <c r="M18" i="48" s="1"/>
  <c r="L36" i="48"/>
  <c r="L6" i="48" s="1"/>
  <c r="M15" i="44"/>
  <c r="Q6" i="44"/>
  <c r="AE16" i="44"/>
  <c r="K15" i="44"/>
  <c r="Y15" i="44"/>
  <c r="U15" i="44"/>
  <c r="AJ6" i="44"/>
  <c r="O15" i="44"/>
  <c r="R16" i="44"/>
  <c r="Y6" i="44"/>
  <c r="Y16" i="44"/>
  <c r="AA6" i="44"/>
  <c r="AE6" i="44"/>
  <c r="AI6" i="44"/>
  <c r="AH6" i="44"/>
  <c r="AJ15" i="44"/>
  <c r="K16" i="44"/>
  <c r="V16" i="44"/>
  <c r="AC40" i="44"/>
  <c r="AC7" i="44" s="1"/>
  <c r="Q40" i="44"/>
  <c r="Q14" i="44" s="1"/>
  <c r="P40" i="44"/>
  <c r="P14" i="44" s="1"/>
  <c r="AJ40" i="44"/>
  <c r="AJ7" i="44" s="1"/>
  <c r="Y40" i="44"/>
  <c r="Y14" i="44" s="1"/>
  <c r="X40" i="44"/>
  <c r="X7" i="44" s="1"/>
  <c r="AG40" i="44"/>
  <c r="AG14" i="44" s="1"/>
  <c r="M40" i="44"/>
  <c r="M7" i="44" s="1"/>
  <c r="N6" i="44"/>
  <c r="R15" i="44"/>
  <c r="AH16" i="44"/>
  <c r="O16" i="44"/>
  <c r="AB16" i="44"/>
  <c r="N16" i="44"/>
  <c r="I32" i="44"/>
  <c r="I15" i="44" s="1"/>
  <c r="Z14" i="44"/>
  <c r="Z7" i="44"/>
  <c r="G33" i="44"/>
  <c r="G16" i="44"/>
  <c r="O6" i="44"/>
  <c r="U7" i="44"/>
  <c r="U14" i="44"/>
  <c r="AC14" i="44"/>
  <c r="Z16" i="44"/>
  <c r="W16" i="44"/>
  <c r="AJ16" i="44"/>
  <c r="G32" i="44"/>
  <c r="G15" i="44" s="1"/>
  <c r="AD16" i="44"/>
  <c r="Z6" i="44"/>
  <c r="X15" i="44"/>
  <c r="L15" i="44"/>
  <c r="AA40" i="44"/>
  <c r="N40" i="44"/>
  <c r="G40" i="44"/>
  <c r="AF40" i="44"/>
  <c r="I33" i="44"/>
  <c r="I16" i="44"/>
  <c r="AA16" i="44"/>
  <c r="M16" i="44"/>
  <c r="L16" i="44"/>
  <c r="R6" i="44"/>
  <c r="T16" i="44"/>
  <c r="V6" i="44"/>
  <c r="H32" i="44"/>
  <c r="H15" i="44" s="1"/>
  <c r="X6" i="44"/>
  <c r="AC6" i="44"/>
  <c r="AF15" i="44"/>
  <c r="T15" i="44"/>
  <c r="W15" i="44"/>
  <c r="K40" i="44"/>
  <c r="J40" i="44"/>
  <c r="V40" i="44"/>
  <c r="O40" i="44"/>
  <c r="H33" i="44"/>
  <c r="H16" i="44" s="1"/>
  <c r="AI16" i="44"/>
  <c r="U16" i="44"/>
  <c r="AB7" i="44"/>
  <c r="AB14" i="44"/>
  <c r="AE14" i="44"/>
  <c r="X16" i="44"/>
  <c r="J32" i="44"/>
  <c r="J15" i="44" s="1"/>
  <c r="AH14" i="44"/>
  <c r="AH7" i="44"/>
  <c r="AF16" i="44"/>
  <c r="AI15" i="44"/>
  <c r="AD6" i="44"/>
  <c r="S16" i="44"/>
  <c r="U6" i="44"/>
  <c r="AF6" i="44"/>
  <c r="W6" i="44"/>
  <c r="K6" i="44"/>
  <c r="AB15" i="44"/>
  <c r="N15" i="44"/>
  <c r="AE15" i="44"/>
  <c r="AI40" i="44"/>
  <c r="L40" i="44"/>
  <c r="R40" i="44"/>
  <c r="AD40" i="44"/>
  <c r="W40" i="44"/>
  <c r="Q16" i="44"/>
  <c r="J33" i="44"/>
  <c r="J16" i="44" s="1"/>
  <c r="P16" i="44"/>
  <c r="AC16" i="44"/>
  <c r="Q7" i="44" l="1"/>
  <c r="AJ14" i="44"/>
  <c r="AG7" i="44"/>
  <c r="P7" i="44"/>
  <c r="D8" i="49"/>
  <c r="I7" i="44"/>
  <c r="H31" i="44"/>
  <c r="H14" i="44" s="1"/>
  <c r="AE4" i="44"/>
  <c r="AB5" i="18" s="1"/>
  <c r="AG4" i="50"/>
  <c r="AD5" i="51" s="1"/>
  <c r="R4" i="50"/>
  <c r="O5" i="51" s="1"/>
  <c r="X14" i="44"/>
  <c r="X4" i="44" s="1"/>
  <c r="U5" i="18" s="1"/>
  <c r="O4" i="50"/>
  <c r="L5" i="51" s="1"/>
  <c r="AJ4" i="50"/>
  <c r="AG5" i="51" s="1"/>
  <c r="AD4" i="50"/>
  <c r="AA5" i="51" s="1"/>
  <c r="E8" i="49"/>
  <c r="K4" i="50"/>
  <c r="H5" i="51" s="1"/>
  <c r="AH4" i="44"/>
  <c r="AE5" i="18" s="1"/>
  <c r="S7" i="44"/>
  <c r="U4" i="50"/>
  <c r="R5" i="51" s="1"/>
  <c r="E6" i="49"/>
  <c r="AH4" i="50"/>
  <c r="AE5" i="51" s="1"/>
  <c r="T4" i="50"/>
  <c r="Q5" i="51" s="1"/>
  <c r="H6" i="50"/>
  <c r="X4" i="50"/>
  <c r="U5" i="51" s="1"/>
  <c r="Y4" i="50"/>
  <c r="V5" i="51" s="1"/>
  <c r="P4" i="50"/>
  <c r="M5" i="51" s="1"/>
  <c r="H14" i="50"/>
  <c r="H4" i="50" s="1"/>
  <c r="E5" i="51" s="1"/>
  <c r="AG9" i="6"/>
  <c r="AG36" i="6"/>
  <c r="AG38" i="6" s="1"/>
  <c r="AG39" i="6" s="1"/>
  <c r="T14" i="44"/>
  <c r="T4" i="44" s="1"/>
  <c r="Q5" i="18" s="1"/>
  <c r="AG4" i="44"/>
  <c r="AD5" i="18" s="1"/>
  <c r="H7" i="49"/>
  <c r="H8" i="49"/>
  <c r="H6" i="49"/>
  <c r="I8" i="49"/>
  <c r="I6" i="49"/>
  <c r="I7" i="49"/>
  <c r="V4" i="50"/>
  <c r="S5" i="51" s="1"/>
  <c r="Q4" i="50"/>
  <c r="N5" i="51" s="1"/>
  <c r="AF4" i="50"/>
  <c r="AC5" i="51" s="1"/>
  <c r="I6" i="50"/>
  <c r="J6" i="50"/>
  <c r="G4" i="50"/>
  <c r="D5" i="51" s="1"/>
  <c r="N4" i="50"/>
  <c r="K5" i="51" s="1"/>
  <c r="I14" i="50"/>
  <c r="I4" i="50" s="1"/>
  <c r="F5" i="51" s="1"/>
  <c r="J14" i="50"/>
  <c r="J4" i="50" s="1"/>
  <c r="G5" i="51" s="1"/>
  <c r="G6" i="50"/>
  <c r="Q42" i="48"/>
  <c r="Q21" i="48" s="1"/>
  <c r="N39" i="48"/>
  <c r="N18" i="48" s="1"/>
  <c r="M36" i="48"/>
  <c r="M6" i="48" s="1"/>
  <c r="M15" i="48"/>
  <c r="M4" i="48" s="1"/>
  <c r="J5" i="49" s="1"/>
  <c r="O41" i="48"/>
  <c r="O20" i="48" s="1"/>
  <c r="Y4" i="44"/>
  <c r="V5" i="18" s="1"/>
  <c r="AC4" i="44"/>
  <c r="Z5" i="18" s="1"/>
  <c r="U4" i="44"/>
  <c r="R5" i="18" s="1"/>
  <c r="Y7" i="44"/>
  <c r="M14" i="44"/>
  <c r="M4" i="44" s="1"/>
  <c r="J5" i="18" s="1"/>
  <c r="J31" i="44"/>
  <c r="J6" i="44" s="1"/>
  <c r="J7" i="44"/>
  <c r="AA7" i="44"/>
  <c r="AA14" i="44"/>
  <c r="AA4" i="44" s="1"/>
  <c r="X5" i="18" s="1"/>
  <c r="H4" i="44"/>
  <c r="E5" i="18" s="1"/>
  <c r="S4" i="44"/>
  <c r="P5" i="18" s="1"/>
  <c r="L7" i="44"/>
  <c r="L14" i="44"/>
  <c r="L4" i="44" s="1"/>
  <c r="I5" i="18" s="1"/>
  <c r="I6" i="44"/>
  <c r="G7" i="44"/>
  <c r="G31" i="44"/>
  <c r="G6" i="44" s="1"/>
  <c r="W7" i="44"/>
  <c r="W14" i="44"/>
  <c r="W4" i="44" s="1"/>
  <c r="T5" i="18" s="1"/>
  <c r="R14" i="44"/>
  <c r="R4" i="44" s="1"/>
  <c r="O5" i="18" s="1"/>
  <c r="R7" i="44"/>
  <c r="AJ4" i="44"/>
  <c r="AG5" i="18" s="1"/>
  <c r="AB4" i="44"/>
  <c r="Y5" i="18" s="1"/>
  <c r="N7" i="44"/>
  <c r="N14" i="44"/>
  <c r="N4" i="44" s="1"/>
  <c r="K5" i="18" s="1"/>
  <c r="Z4" i="44"/>
  <c r="W5" i="18" s="1"/>
  <c r="Q4" i="44"/>
  <c r="N5" i="18" s="1"/>
  <c r="K7" i="44"/>
  <c r="K14" i="44"/>
  <c r="K4" i="44" s="1"/>
  <c r="H5" i="18" s="1"/>
  <c r="AD7" i="44"/>
  <c r="AD14" i="44"/>
  <c r="AD4" i="44" s="1"/>
  <c r="AA5" i="18" s="1"/>
  <c r="AF14" i="44"/>
  <c r="AF4" i="44" s="1"/>
  <c r="AC5" i="18" s="1"/>
  <c r="AF7" i="44"/>
  <c r="AI7" i="44"/>
  <c r="AI14" i="44"/>
  <c r="AI4" i="44" s="1"/>
  <c r="AF5" i="18" s="1"/>
  <c r="O7" i="44"/>
  <c r="O14" i="44"/>
  <c r="O4" i="44" s="1"/>
  <c r="L5" i="18" s="1"/>
  <c r="V7" i="44"/>
  <c r="V14" i="44"/>
  <c r="V4" i="44" s="1"/>
  <c r="S5" i="18" s="1"/>
  <c r="I14" i="44"/>
  <c r="I4" i="44" s="1"/>
  <c r="F5" i="18" s="1"/>
  <c r="P4" i="44"/>
  <c r="M5" i="18" s="1"/>
  <c r="H6" i="44"/>
  <c r="C5" i="51" l="1"/>
  <c r="J7" i="49"/>
  <c r="J8" i="49"/>
  <c r="J6" i="49"/>
  <c r="P41" i="48"/>
  <c r="P20" i="48" s="1"/>
  <c r="O39" i="48"/>
  <c r="O18" i="48" s="1"/>
  <c r="N36" i="48"/>
  <c r="N6" i="48" s="1"/>
  <c r="N15" i="48"/>
  <c r="N4" i="48" s="1"/>
  <c r="K5" i="49" s="1"/>
  <c r="R42" i="48"/>
  <c r="R21" i="48" s="1"/>
  <c r="G14" i="44"/>
  <c r="G4" i="44" s="1"/>
  <c r="D5" i="18" s="1"/>
  <c r="J14" i="44"/>
  <c r="J4" i="44" s="1"/>
  <c r="G5" i="18" s="1"/>
  <c r="K8" i="49" l="1"/>
  <c r="K7" i="49"/>
  <c r="K6" i="49"/>
  <c r="S42" i="48"/>
  <c r="S21" i="48" s="1"/>
  <c r="P39" i="48"/>
  <c r="P18" i="48" s="1"/>
  <c r="O15" i="48"/>
  <c r="O4" i="48" s="1"/>
  <c r="L5" i="49" s="1"/>
  <c r="O36" i="48"/>
  <c r="O6" i="48" s="1"/>
  <c r="Q41" i="48"/>
  <c r="Q20" i="48" s="1"/>
  <c r="L7" i="49" l="1"/>
  <c r="L6" i="49"/>
  <c r="L8" i="49"/>
  <c r="P36" i="48"/>
  <c r="P6" i="48" s="1"/>
  <c r="Q39" i="48"/>
  <c r="Q18" i="48" s="1"/>
  <c r="P15" i="48"/>
  <c r="P4" i="48" s="1"/>
  <c r="M5" i="49" s="1"/>
  <c r="R41" i="48"/>
  <c r="R20" i="48" s="1"/>
  <c r="T42" i="48"/>
  <c r="T21" i="48" s="1"/>
  <c r="M6" i="49" l="1"/>
  <c r="M7" i="49"/>
  <c r="M8" i="49"/>
  <c r="U42" i="48"/>
  <c r="U21" i="48" s="1"/>
  <c r="S41" i="48"/>
  <c r="S20" i="48" s="1"/>
  <c r="R39" i="48"/>
  <c r="R18" i="48" s="1"/>
  <c r="Q36" i="48"/>
  <c r="Q6" i="48" s="1"/>
  <c r="Q15" i="48"/>
  <c r="Q4" i="48" s="1"/>
  <c r="N5" i="49" s="1"/>
  <c r="N8" i="49" l="1"/>
  <c r="N6" i="49"/>
  <c r="N7" i="49"/>
  <c r="V42" i="48"/>
  <c r="V21" i="48" s="1"/>
  <c r="S39" i="48"/>
  <c r="S18" i="48" s="1"/>
  <c r="R36" i="48"/>
  <c r="R6" i="48" s="1"/>
  <c r="R15" i="48"/>
  <c r="R4" i="48" s="1"/>
  <c r="O5" i="49" s="1"/>
  <c r="T41" i="48"/>
  <c r="T20" i="48" s="1"/>
  <c r="O8" i="49" l="1"/>
  <c r="O7" i="49"/>
  <c r="O6" i="49"/>
  <c r="U41" i="48"/>
  <c r="U20" i="48" s="1"/>
  <c r="S15" i="48"/>
  <c r="S4" i="48" s="1"/>
  <c r="P5" i="49" s="1"/>
  <c r="T39" i="48"/>
  <c r="T18" i="48" s="1"/>
  <c r="S36" i="48"/>
  <c r="S6" i="48" s="1"/>
  <c r="W42" i="48"/>
  <c r="W21" i="48" s="1"/>
  <c r="P7" i="49" l="1"/>
  <c r="P8" i="49"/>
  <c r="P6" i="49"/>
  <c r="X42" i="48"/>
  <c r="X21" i="48" s="1"/>
  <c r="U39" i="48"/>
  <c r="U18" i="48" s="1"/>
  <c r="T36" i="48"/>
  <c r="T6" i="48" s="1"/>
  <c r="T15" i="48"/>
  <c r="T4" i="48" s="1"/>
  <c r="Q5" i="49" s="1"/>
  <c r="V41" i="48"/>
  <c r="V20" i="48" s="1"/>
  <c r="Q7" i="49" l="1"/>
  <c r="Q6" i="49"/>
  <c r="Q8" i="49"/>
  <c r="W41" i="48"/>
  <c r="W20" i="48" s="1"/>
  <c r="V39" i="48"/>
  <c r="V18" i="48" s="1"/>
  <c r="U36" i="48"/>
  <c r="U6" i="48" s="1"/>
  <c r="U15" i="48"/>
  <c r="U4" i="48" s="1"/>
  <c r="R5" i="49" s="1"/>
  <c r="Y42" i="48"/>
  <c r="Y21" i="48" s="1"/>
  <c r="R8" i="49" l="1"/>
  <c r="R7" i="49"/>
  <c r="R6" i="49"/>
  <c r="Z42" i="48"/>
  <c r="Z21" i="48" s="1"/>
  <c r="V36" i="48"/>
  <c r="V6" i="48" s="1"/>
  <c r="W39" i="48"/>
  <c r="W18" i="48" s="1"/>
  <c r="V15" i="48"/>
  <c r="V4" i="48" s="1"/>
  <c r="S5" i="49" s="1"/>
  <c r="X41" i="48"/>
  <c r="X20" i="48" s="1"/>
  <c r="S8" i="49" l="1"/>
  <c r="S7" i="49"/>
  <c r="S6" i="49"/>
  <c r="Y41" i="48"/>
  <c r="Y20" i="48" s="1"/>
  <c r="X39" i="48"/>
  <c r="X18" i="48" s="1"/>
  <c r="W15" i="48"/>
  <c r="W4" i="48" s="1"/>
  <c r="T5" i="49" s="1"/>
  <c r="W36" i="48"/>
  <c r="W6" i="48" s="1"/>
  <c r="AA42" i="48"/>
  <c r="AA21" i="48" s="1"/>
  <c r="T7" i="49" l="1"/>
  <c r="T8" i="49"/>
  <c r="T6" i="49"/>
  <c r="AB42" i="48"/>
  <c r="AB21" i="48" s="1"/>
  <c r="X36" i="48"/>
  <c r="X6" i="48" s="1"/>
  <c r="Y39" i="48"/>
  <c r="Y18" i="48" s="1"/>
  <c r="X15" i="48"/>
  <c r="X4" i="48" s="1"/>
  <c r="U5" i="49" s="1"/>
  <c r="Z41" i="48"/>
  <c r="Z20" i="48" s="1"/>
  <c r="U8" i="49" l="1"/>
  <c r="U6" i="49"/>
  <c r="U7" i="49"/>
  <c r="AA41" i="48"/>
  <c r="AA20" i="48" s="1"/>
  <c r="Z39" i="48"/>
  <c r="Z18" i="48" s="1"/>
  <c r="Y36" i="48"/>
  <c r="Y6" i="48" s="1"/>
  <c r="Y15" i="48"/>
  <c r="Y4" i="48" s="1"/>
  <c r="V5" i="49" s="1"/>
  <c r="AC42" i="48"/>
  <c r="AC21" i="48" s="1"/>
  <c r="V8" i="49" l="1"/>
  <c r="V7" i="49"/>
  <c r="V6" i="49"/>
  <c r="AD42" i="48"/>
  <c r="AD21" i="48" s="1"/>
  <c r="AA39" i="48"/>
  <c r="AA18" i="48" s="1"/>
  <c r="Z36" i="48"/>
  <c r="Z6" i="48" s="1"/>
  <c r="Z15" i="48"/>
  <c r="Z4" i="48" s="1"/>
  <c r="W5" i="49" s="1"/>
  <c r="AB41" i="48"/>
  <c r="AB20" i="48" s="1"/>
  <c r="W8" i="49" l="1"/>
  <c r="W6" i="49"/>
  <c r="W7" i="49"/>
  <c r="AC41" i="48"/>
  <c r="AC20" i="48" s="1"/>
  <c r="AA15" i="48"/>
  <c r="AA4" i="48" s="1"/>
  <c r="X5" i="49" s="1"/>
  <c r="AB39" i="48"/>
  <c r="AB18" i="48" s="1"/>
  <c r="AA36" i="48"/>
  <c r="AA6" i="48" s="1"/>
  <c r="AE42" i="48"/>
  <c r="AE21" i="48" s="1"/>
  <c r="X7" i="49" l="1"/>
  <c r="X8" i="49"/>
  <c r="X6" i="49"/>
  <c r="AC39" i="48"/>
  <c r="AC18" i="48" s="1"/>
  <c r="AB36" i="48"/>
  <c r="AB6" i="48" s="1"/>
  <c r="AB15" i="48"/>
  <c r="AB4" i="48" s="1"/>
  <c r="Y5" i="49" s="1"/>
  <c r="AF42" i="48"/>
  <c r="AF21" i="48" s="1"/>
  <c r="AD41" i="48"/>
  <c r="AD20" i="48" s="1"/>
  <c r="Y8" i="49" l="1"/>
  <c r="Y6" i="49"/>
  <c r="Y7" i="49"/>
  <c r="AE41" i="48"/>
  <c r="AE20" i="48" s="1"/>
  <c r="AG42" i="48"/>
  <c r="AG21" i="48" s="1"/>
  <c r="AD39" i="48"/>
  <c r="AD18" i="48" s="1"/>
  <c r="AC36" i="48"/>
  <c r="AC6" i="48" s="1"/>
  <c r="AC15" i="48"/>
  <c r="AC4" i="48" s="1"/>
  <c r="Z5" i="49" s="1"/>
  <c r="Z8" i="49" l="1"/>
  <c r="Z7" i="49"/>
  <c r="Z6" i="49"/>
  <c r="AE39" i="48"/>
  <c r="AE18" i="48" s="1"/>
  <c r="AD36" i="48"/>
  <c r="AD6" i="48" s="1"/>
  <c r="AD15" i="48"/>
  <c r="AD4" i="48" s="1"/>
  <c r="AA5" i="49" s="1"/>
  <c r="AH42" i="48"/>
  <c r="AH21" i="48" s="1"/>
  <c r="AF41" i="48"/>
  <c r="AF20" i="48" s="1"/>
  <c r="AA8" i="49" l="1"/>
  <c r="AA7" i="49"/>
  <c r="AA6" i="49"/>
  <c r="AG41" i="48"/>
  <c r="AG20" i="48" s="1"/>
  <c r="AI42" i="48"/>
  <c r="AI21" i="48" s="1"/>
  <c r="AF39" i="48"/>
  <c r="AF18" i="48" s="1"/>
  <c r="AE15" i="48"/>
  <c r="AE4" i="48" s="1"/>
  <c r="AB5" i="49" s="1"/>
  <c r="AE36" i="48"/>
  <c r="AE6" i="48" s="1"/>
  <c r="AB7" i="49" l="1"/>
  <c r="AB8" i="49"/>
  <c r="AB6" i="49"/>
  <c r="AF36" i="48"/>
  <c r="AF6" i="48" s="1"/>
  <c r="AG39" i="48"/>
  <c r="AG18" i="48" s="1"/>
  <c r="AF15" i="48"/>
  <c r="AF4" i="48" s="1"/>
  <c r="AC5" i="49" s="1"/>
  <c r="AJ42" i="48"/>
  <c r="AJ21" i="48" s="1"/>
  <c r="AH41" i="48"/>
  <c r="AH20" i="48" s="1"/>
  <c r="AC6" i="49" l="1"/>
  <c r="AC8" i="49"/>
  <c r="AC7" i="49"/>
  <c r="AI41" i="48"/>
  <c r="AI20" i="48" s="1"/>
  <c r="AH39" i="48"/>
  <c r="AH18" i="48" s="1"/>
  <c r="AG36" i="48"/>
  <c r="AG6" i="48" s="1"/>
  <c r="AG15" i="48"/>
  <c r="AG4" i="48" s="1"/>
  <c r="AD5" i="49" s="1"/>
  <c r="AD8" i="49" l="1"/>
  <c r="AD7" i="49"/>
  <c r="AD6" i="49"/>
  <c r="AI39" i="48"/>
  <c r="AI18" i="48" s="1"/>
  <c r="AH36" i="48"/>
  <c r="AH6" i="48" s="1"/>
  <c r="AH15" i="48"/>
  <c r="AH4" i="48" s="1"/>
  <c r="AE5" i="49" s="1"/>
  <c r="AJ41" i="48"/>
  <c r="AJ20" i="48" s="1"/>
  <c r="AE8" i="49" l="1"/>
  <c r="AE7" i="49"/>
  <c r="AE6" i="49"/>
  <c r="AI15" i="48"/>
  <c r="AI4" i="48" s="1"/>
  <c r="AF5" i="49" s="1"/>
  <c r="AJ39" i="48"/>
  <c r="AJ18" i="48" s="1"/>
  <c r="AI36" i="48"/>
  <c r="AI6" i="48" s="1"/>
  <c r="AF7" i="49" l="1"/>
  <c r="AF8" i="49"/>
  <c r="AF6" i="49"/>
  <c r="AJ36" i="48"/>
  <c r="AJ6" i="48" s="1"/>
  <c r="AJ15" i="48"/>
  <c r="AJ4" i="48" s="1"/>
  <c r="AG5" i="49" s="1"/>
  <c r="AG6" i="49" l="1"/>
  <c r="AG8" i="49"/>
  <c r="AG7" i="49"/>
  <c r="C5" i="49" l="1"/>
  <c r="C61" i="42"/>
  <c r="D61" i="42"/>
  <c r="C37" i="42"/>
  <c r="D4" i="18"/>
  <c r="G37" i="42"/>
  <c r="G6" i="42" s="1"/>
  <c r="H43" i="42"/>
  <c r="B32" i="42"/>
  <c r="B31" i="42"/>
  <c r="B30" i="42"/>
  <c r="B29" i="42"/>
  <c r="C22" i="42"/>
  <c r="B22" i="42"/>
  <c r="C21" i="42"/>
  <c r="B21" i="42"/>
  <c r="C20" i="42"/>
  <c r="B20" i="42"/>
  <c r="C19" i="42"/>
  <c r="B19" i="42"/>
  <c r="D15" i="42"/>
  <c r="C15" i="42"/>
  <c r="D10" i="42"/>
  <c r="H42" i="42"/>
  <c r="I42" i="42" s="1"/>
  <c r="D9" i="42"/>
  <c r="H41" i="42"/>
  <c r="I41" i="42" s="1"/>
  <c r="D8" i="42"/>
  <c r="H40" i="42"/>
  <c r="D7" i="42"/>
  <c r="H2" i="42"/>
  <c r="I2" i="42" s="1"/>
  <c r="J2" i="42" s="1"/>
  <c r="K2" i="42" s="1"/>
  <c r="L2" i="42" s="1"/>
  <c r="M2" i="42" s="1"/>
  <c r="N2" i="42" s="1"/>
  <c r="O2" i="42" s="1"/>
  <c r="P2" i="42" s="1"/>
  <c r="Q2" i="42" s="1"/>
  <c r="R2" i="42" s="1"/>
  <c r="S2" i="42" s="1"/>
  <c r="T2" i="42" s="1"/>
  <c r="U2" i="42" s="1"/>
  <c r="V2" i="42" s="1"/>
  <c r="W2" i="42" s="1"/>
  <c r="X2" i="42" s="1"/>
  <c r="Y2" i="42" s="1"/>
  <c r="Z2" i="42" s="1"/>
  <c r="AA2" i="42" s="1"/>
  <c r="AB2" i="42" s="1"/>
  <c r="AC2" i="42" s="1"/>
  <c r="AD2" i="42" s="1"/>
  <c r="AE2" i="42" s="1"/>
  <c r="AF2" i="42" s="1"/>
  <c r="AG2" i="42" s="1"/>
  <c r="AH2" i="42" s="1"/>
  <c r="AI2" i="42" s="1"/>
  <c r="AJ2" i="42" s="1"/>
  <c r="AG5" i="19"/>
  <c r="AG5" i="36"/>
  <c r="AG51" i="36" s="1"/>
  <c r="AE18" i="35"/>
  <c r="AF18" i="35"/>
  <c r="AG18" i="35"/>
  <c r="AG48" i="36" s="1"/>
  <c r="AG20" i="36"/>
  <c r="AG21" i="34"/>
  <c r="AG22" i="34"/>
  <c r="AG15" i="34"/>
  <c r="AG49" i="36" s="1"/>
  <c r="AG7" i="34"/>
  <c r="AG53" i="36" l="1"/>
  <c r="AG37" i="36"/>
  <c r="AG32" i="36"/>
  <c r="AG23" i="34"/>
  <c r="AG50" i="36"/>
  <c r="C7" i="49"/>
  <c r="C6" i="49"/>
  <c r="C8" i="49"/>
  <c r="D40" i="42"/>
  <c r="C16" i="42"/>
  <c r="P4" i="18"/>
  <c r="AF4" i="18"/>
  <c r="AG4" i="18"/>
  <c r="Q4" i="18"/>
  <c r="O4" i="18"/>
  <c r="AE4" i="18"/>
  <c r="H4" i="18"/>
  <c r="X4" i="18"/>
  <c r="R4" i="18"/>
  <c r="G4" i="18"/>
  <c r="W4" i="18"/>
  <c r="I4" i="18"/>
  <c r="Y4" i="18"/>
  <c r="J4" i="18"/>
  <c r="Z4" i="18"/>
  <c r="F4" i="18"/>
  <c r="N4" i="18"/>
  <c r="V4" i="18"/>
  <c r="AD4" i="18"/>
  <c r="K4" i="18"/>
  <c r="S4" i="18"/>
  <c r="AA4" i="18"/>
  <c r="L4" i="18"/>
  <c r="T4" i="18"/>
  <c r="AB4" i="18"/>
  <c r="E4" i="18"/>
  <c r="M4" i="18"/>
  <c r="U4" i="18"/>
  <c r="AC4" i="18"/>
  <c r="I40" i="42"/>
  <c r="H37" i="42"/>
  <c r="H6" i="42" s="1"/>
  <c r="J41" i="42"/>
  <c r="J42" i="42"/>
  <c r="K42" i="42" s="1"/>
  <c r="L42" i="42" s="1"/>
  <c r="M42" i="42" s="1"/>
  <c r="I43" i="42"/>
  <c r="AG7" i="36" l="1"/>
  <c r="AG33" i="36" s="1"/>
  <c r="AG34" i="36" s="1"/>
  <c r="AG21" i="36"/>
  <c r="D37" i="42"/>
  <c r="D19" i="42"/>
  <c r="J43" i="42"/>
  <c r="N42" i="42"/>
  <c r="K41" i="42"/>
  <c r="I37" i="42"/>
  <c r="I6" i="42" s="1"/>
  <c r="J40" i="42"/>
  <c r="H19" i="42" l="1"/>
  <c r="I20" i="42"/>
  <c r="J21" i="42"/>
  <c r="N21" i="42"/>
  <c r="G22" i="42"/>
  <c r="J19" i="42"/>
  <c r="L21" i="42"/>
  <c r="I22" i="42"/>
  <c r="I21" i="42"/>
  <c r="I19" i="42"/>
  <c r="J20" i="42"/>
  <c r="K21" i="42"/>
  <c r="H22" i="42"/>
  <c r="G21" i="42"/>
  <c r="K20" i="42"/>
  <c r="H21" i="42"/>
  <c r="G20" i="42"/>
  <c r="H20" i="42"/>
  <c r="M21" i="42"/>
  <c r="J22" i="42"/>
  <c r="G19" i="42"/>
  <c r="D16" i="42"/>
  <c r="L41" i="42"/>
  <c r="L20" i="42" s="1"/>
  <c r="O42" i="42"/>
  <c r="O21" i="42" s="1"/>
  <c r="J37" i="42"/>
  <c r="J6" i="42" s="1"/>
  <c r="K40" i="42"/>
  <c r="K19" i="42" s="1"/>
  <c r="K43" i="42"/>
  <c r="K22" i="42" s="1"/>
  <c r="H16" i="42" l="1"/>
  <c r="H4" i="42" s="1"/>
  <c r="E5" i="10" s="1"/>
  <c r="I16" i="42"/>
  <c r="I4" i="42" s="1"/>
  <c r="F5" i="10" s="1"/>
  <c r="G16" i="42"/>
  <c r="G4" i="42" s="1"/>
  <c r="D5" i="10" s="1"/>
  <c r="J16" i="42"/>
  <c r="J4" i="42" s="1"/>
  <c r="G5" i="10" s="1"/>
  <c r="C5" i="18"/>
  <c r="L43" i="42"/>
  <c r="L22" i="42" s="1"/>
  <c r="L40" i="42"/>
  <c r="L19" i="42" s="1"/>
  <c r="K37" i="42"/>
  <c r="K6" i="42" s="1"/>
  <c r="P42" i="42"/>
  <c r="P21" i="42" s="1"/>
  <c r="M41" i="42"/>
  <c r="M20" i="42" s="1"/>
  <c r="K16" i="42" l="1"/>
  <c r="K4" i="42" s="1"/>
  <c r="H5" i="10" s="1"/>
  <c r="Q42" i="42"/>
  <c r="Q21" i="42" s="1"/>
  <c r="N41" i="42"/>
  <c r="N20" i="42" s="1"/>
  <c r="M43" i="42"/>
  <c r="M22" i="42" s="1"/>
  <c r="M40" i="42"/>
  <c r="M19" i="42" s="1"/>
  <c r="L37" i="42"/>
  <c r="L6" i="42" s="1"/>
  <c r="L16" i="42" l="1"/>
  <c r="L4" i="42" s="1"/>
  <c r="I5" i="10" s="1"/>
  <c r="N40" i="42"/>
  <c r="N19" i="42" s="1"/>
  <c r="M37" i="42"/>
  <c r="M6" i="42" s="1"/>
  <c r="N43" i="42"/>
  <c r="N22" i="42" s="1"/>
  <c r="O41" i="42"/>
  <c r="O20" i="42" s="1"/>
  <c r="R42" i="42"/>
  <c r="R21" i="42" s="1"/>
  <c r="M16" i="42" l="1"/>
  <c r="M4" i="42" s="1"/>
  <c r="J5" i="10" s="1"/>
  <c r="S42" i="42"/>
  <c r="S21" i="42" s="1"/>
  <c r="P41" i="42"/>
  <c r="P20" i="42" s="1"/>
  <c r="O43" i="42"/>
  <c r="O22" i="42" s="1"/>
  <c r="O40" i="42"/>
  <c r="O19" i="42" s="1"/>
  <c r="N37" i="42"/>
  <c r="N6" i="42" s="1"/>
  <c r="N16" i="42" l="1"/>
  <c r="N4" i="42" s="1"/>
  <c r="K5" i="10" s="1"/>
  <c r="Q41" i="42"/>
  <c r="Q20" i="42" s="1"/>
  <c r="P40" i="42"/>
  <c r="P19" i="42" s="1"/>
  <c r="O37" i="42"/>
  <c r="O6" i="42" s="1"/>
  <c r="P43" i="42"/>
  <c r="P22" i="42" s="1"/>
  <c r="T42" i="42"/>
  <c r="T21" i="42" s="1"/>
  <c r="O16" i="42" l="1"/>
  <c r="O4" i="42" s="1"/>
  <c r="L5" i="10" s="1"/>
  <c r="Q40" i="42"/>
  <c r="Q19" i="42" s="1"/>
  <c r="P37" i="42"/>
  <c r="P6" i="42" s="1"/>
  <c r="Q43" i="42"/>
  <c r="Q22" i="42" s="1"/>
  <c r="U42" i="42"/>
  <c r="U21" i="42" s="1"/>
  <c r="R41" i="42"/>
  <c r="R20" i="42" s="1"/>
  <c r="P16" i="42" l="1"/>
  <c r="P4" i="42" s="1"/>
  <c r="V42" i="42"/>
  <c r="V21" i="42" s="1"/>
  <c r="R43" i="42"/>
  <c r="R22" i="42" s="1"/>
  <c r="S41" i="42"/>
  <c r="S20" i="42" s="1"/>
  <c r="M5" i="10"/>
  <c r="Q37" i="42"/>
  <c r="Q6" i="42" s="1"/>
  <c r="R40" i="42"/>
  <c r="R19" i="42" s="1"/>
  <c r="Q16" i="42" l="1"/>
  <c r="Q4" i="42" s="1"/>
  <c r="N5" i="10" s="1"/>
  <c r="T41" i="42"/>
  <c r="T20" i="42" s="1"/>
  <c r="S43" i="42"/>
  <c r="S22" i="42" s="1"/>
  <c r="R37" i="42"/>
  <c r="R6" i="42" s="1"/>
  <c r="S40" i="42"/>
  <c r="S19" i="42" s="1"/>
  <c r="W42" i="42"/>
  <c r="W21" i="42" s="1"/>
  <c r="R16" i="42" l="1"/>
  <c r="R4" i="42" s="1"/>
  <c r="O5" i="10" s="1"/>
  <c r="T43" i="42"/>
  <c r="T22" i="42" s="1"/>
  <c r="U41" i="42"/>
  <c r="U20" i="42" s="1"/>
  <c r="X42" i="42"/>
  <c r="X21" i="42" s="1"/>
  <c r="T40" i="42"/>
  <c r="T19" i="42" s="1"/>
  <c r="S37" i="42"/>
  <c r="S6" i="42" s="1"/>
  <c r="S16" i="42" l="1"/>
  <c r="S4" i="42" s="1"/>
  <c r="P5" i="10" s="1"/>
  <c r="U40" i="42"/>
  <c r="U19" i="42" s="1"/>
  <c r="T37" i="42"/>
  <c r="T6" i="42" s="1"/>
  <c r="Y42" i="42"/>
  <c r="Y21" i="42" s="1"/>
  <c r="V41" i="42"/>
  <c r="V20" i="42" s="1"/>
  <c r="U43" i="42"/>
  <c r="U22" i="42" s="1"/>
  <c r="AG54" i="36"/>
  <c r="AG55" i="36" s="1"/>
  <c r="E14" i="1"/>
  <c r="C16" i="1"/>
  <c r="K5" i="6"/>
  <c r="L5" i="6"/>
  <c r="M5" i="6"/>
  <c r="N5" i="6"/>
  <c r="O5" i="6"/>
  <c r="P5" i="6"/>
  <c r="Q5" i="6"/>
  <c r="R5" i="6"/>
  <c r="S5" i="6"/>
  <c r="T5" i="6"/>
  <c r="U5" i="6"/>
  <c r="V5" i="6"/>
  <c r="W5" i="6"/>
  <c r="X5" i="6"/>
  <c r="Y5" i="6"/>
  <c r="Z5" i="6"/>
  <c r="AA5" i="6"/>
  <c r="AB5" i="6"/>
  <c r="AC5" i="6"/>
  <c r="AD5" i="6"/>
  <c r="AE5" i="6"/>
  <c r="AF5" i="6"/>
  <c r="K19" i="7"/>
  <c r="L19" i="7"/>
  <c r="M19" i="7"/>
  <c r="N19" i="7"/>
  <c r="O19" i="7"/>
  <c r="P19" i="7"/>
  <c r="Q19" i="7"/>
  <c r="R19" i="7"/>
  <c r="S19" i="7"/>
  <c r="T19" i="7"/>
  <c r="U19" i="7"/>
  <c r="V19" i="7"/>
  <c r="W19" i="7"/>
  <c r="X19" i="7"/>
  <c r="Y19" i="7"/>
  <c r="Z19" i="7"/>
  <c r="AA19" i="7"/>
  <c r="AB19" i="7"/>
  <c r="AC19" i="7"/>
  <c r="AD19" i="7"/>
  <c r="AE19" i="7"/>
  <c r="AF19" i="7"/>
  <c r="T16" i="42" l="1"/>
  <c r="T4" i="42" s="1"/>
  <c r="Q5" i="10" s="1"/>
  <c r="W41" i="42"/>
  <c r="W20" i="42" s="1"/>
  <c r="V40" i="42"/>
  <c r="V19" i="42" s="1"/>
  <c r="U16" i="42"/>
  <c r="U4" i="42" s="1"/>
  <c r="U37" i="42"/>
  <c r="U6" i="42" s="1"/>
  <c r="Z42" i="42"/>
  <c r="Z21" i="42" s="1"/>
  <c r="V43" i="42"/>
  <c r="V22" i="42" s="1"/>
  <c r="D5" i="9"/>
  <c r="D6" i="9"/>
  <c r="D4" i="9"/>
  <c r="AA42" i="42" l="1"/>
  <c r="AA21" i="42" s="1"/>
  <c r="R5" i="10"/>
  <c r="W43" i="42"/>
  <c r="W22" i="42" s="1"/>
  <c r="W40" i="42"/>
  <c r="W19" i="42" s="1"/>
  <c r="V37" i="42"/>
  <c r="V6" i="42" s="1"/>
  <c r="V16" i="42"/>
  <c r="V4" i="42" s="1"/>
  <c r="X41" i="42"/>
  <c r="X20" i="42" s="1"/>
  <c r="AG36" i="36" l="1"/>
  <c r="AG38" i="36" s="1"/>
  <c r="AG39" i="36" s="1"/>
  <c r="S5" i="10"/>
  <c r="X40" i="42"/>
  <c r="X19" i="42" s="1"/>
  <c r="W37" i="42"/>
  <c r="W6" i="42" s="1"/>
  <c r="X43" i="42"/>
  <c r="X22" i="42" s="1"/>
  <c r="Y41" i="42"/>
  <c r="Y20" i="42" s="1"/>
  <c r="AB42" i="42"/>
  <c r="AB21" i="42" s="1"/>
  <c r="J3" i="31"/>
  <c r="K3" i="2"/>
  <c r="K22" i="7"/>
  <c r="K18" i="6" s="1"/>
  <c r="L22" i="7"/>
  <c r="L18" i="6" s="1"/>
  <c r="M22" i="7"/>
  <c r="M18" i="6" s="1"/>
  <c r="N22" i="7"/>
  <c r="N18" i="6" s="1"/>
  <c r="O22" i="7"/>
  <c r="O18" i="6" s="1"/>
  <c r="P22" i="7"/>
  <c r="P18" i="6" s="1"/>
  <c r="Q22" i="7"/>
  <c r="Q18" i="6" s="1"/>
  <c r="R22" i="7"/>
  <c r="R18" i="6" s="1"/>
  <c r="S22" i="7"/>
  <c r="S18" i="6" s="1"/>
  <c r="T22" i="7"/>
  <c r="T18" i="6" s="1"/>
  <c r="U22" i="7"/>
  <c r="U18" i="6" s="1"/>
  <c r="V22" i="7"/>
  <c r="V18" i="6" s="1"/>
  <c r="W22" i="7"/>
  <c r="W18" i="6" s="1"/>
  <c r="X22" i="7"/>
  <c r="X18" i="6" s="1"/>
  <c r="Y22" i="7"/>
  <c r="Y18" i="6" s="1"/>
  <c r="Z22" i="7"/>
  <c r="Z18" i="6" s="1"/>
  <c r="AA22" i="7"/>
  <c r="AA18" i="6" s="1"/>
  <c r="AB22" i="7"/>
  <c r="AB18" i="6" s="1"/>
  <c r="AC22" i="7"/>
  <c r="AC18" i="6" s="1"/>
  <c r="AD22" i="7"/>
  <c r="AD18" i="6" s="1"/>
  <c r="AE22" i="7"/>
  <c r="AE18" i="6" s="1"/>
  <c r="AF22" i="7"/>
  <c r="AF18" i="6" s="1"/>
  <c r="AQ22" i="7"/>
  <c r="C20" i="6"/>
  <c r="C8" i="6"/>
  <c r="W16" i="42" l="1"/>
  <c r="W4" i="42" s="1"/>
  <c r="T5" i="10" s="1"/>
  <c r="AC42" i="42"/>
  <c r="AC21" i="42" s="1"/>
  <c r="Z41" i="42"/>
  <c r="Z20" i="42" s="1"/>
  <c r="Y43" i="42"/>
  <c r="Y22" i="42" s="1"/>
  <c r="Y40" i="42"/>
  <c r="Y19" i="42" s="1"/>
  <c r="X37" i="42"/>
  <c r="X6" i="42" s="1"/>
  <c r="E20" i="36"/>
  <c r="F20" i="36"/>
  <c r="G20" i="36"/>
  <c r="H20" i="36"/>
  <c r="I20" i="36"/>
  <c r="J20" i="36"/>
  <c r="K20" i="36"/>
  <c r="L20" i="36"/>
  <c r="M20" i="36"/>
  <c r="N20" i="36"/>
  <c r="O20" i="36"/>
  <c r="P20" i="36"/>
  <c r="Q20" i="36"/>
  <c r="R20" i="36"/>
  <c r="S20" i="36"/>
  <c r="T20" i="36"/>
  <c r="U20" i="36"/>
  <c r="V20" i="36"/>
  <c r="W20" i="36"/>
  <c r="X20" i="36"/>
  <c r="Y20" i="36"/>
  <c r="Z20" i="36"/>
  <c r="AA20" i="36"/>
  <c r="AB20" i="36"/>
  <c r="AC20" i="36"/>
  <c r="AD20" i="36"/>
  <c r="AE20" i="36"/>
  <c r="AF20" i="36"/>
  <c r="E33" i="32"/>
  <c r="D32" i="32"/>
  <c r="E23" i="32"/>
  <c r="F23" i="32" s="1"/>
  <c r="G23" i="32" s="1"/>
  <c r="H23" i="32" s="1"/>
  <c r="D10" i="32"/>
  <c r="D9" i="32"/>
  <c r="D8" i="32"/>
  <c r="D7" i="32"/>
  <c r="D6" i="32"/>
  <c r="C26" i="1"/>
  <c r="C27" i="1" s="1"/>
  <c r="C28" i="1" s="1"/>
  <c r="C29" i="1" s="1"/>
  <c r="C30" i="1" s="1"/>
  <c r="C44" i="2"/>
  <c r="E43" i="2"/>
  <c r="F43" i="2" s="1"/>
  <c r="G43" i="2" s="1"/>
  <c r="H43" i="2" s="1"/>
  <c r="I43" i="2" s="1"/>
  <c r="J43" i="2" s="1"/>
  <c r="K43" i="2" s="1"/>
  <c r="L43" i="2" s="1"/>
  <c r="M43" i="2" s="1"/>
  <c r="N43" i="2" s="1"/>
  <c r="O43" i="2" s="1"/>
  <c r="P43" i="2" s="1"/>
  <c r="L5" i="19"/>
  <c r="M5" i="19"/>
  <c r="N5" i="19"/>
  <c r="O5" i="19"/>
  <c r="P5" i="19"/>
  <c r="Q5" i="19"/>
  <c r="R5" i="19"/>
  <c r="S5" i="19"/>
  <c r="T5" i="19"/>
  <c r="U5" i="19"/>
  <c r="V5" i="19"/>
  <c r="W5" i="19"/>
  <c r="X5" i="19"/>
  <c r="Y5" i="19"/>
  <c r="Z5" i="19"/>
  <c r="AA5" i="19"/>
  <c r="AB5" i="19"/>
  <c r="AC5" i="19"/>
  <c r="AD5" i="19"/>
  <c r="AE5" i="19"/>
  <c r="AF5" i="19"/>
  <c r="H32" i="32" l="1"/>
  <c r="I23" i="32"/>
  <c r="C31" i="1"/>
  <c r="C32" i="1" s="1"/>
  <c r="C33" i="1"/>
  <c r="C34" i="1" s="1"/>
  <c r="C35" i="1" s="1"/>
  <c r="C36" i="1" s="1"/>
  <c r="C37" i="1" s="1"/>
  <c r="C38" i="1" s="1"/>
  <c r="C39" i="1" s="1"/>
  <c r="D20" i="36"/>
  <c r="C19" i="35"/>
  <c r="X16" i="42"/>
  <c r="X4" i="42" s="1"/>
  <c r="U5" i="10" s="1"/>
  <c r="Y37" i="42"/>
  <c r="Y6" i="42" s="1"/>
  <c r="Z40" i="42"/>
  <c r="Z19" i="42" s="1"/>
  <c r="Y16" i="42"/>
  <c r="Y4" i="42" s="1"/>
  <c r="AA41" i="42"/>
  <c r="AA20" i="42" s="1"/>
  <c r="Z43" i="42"/>
  <c r="Z22" i="42" s="1"/>
  <c r="AD42" i="42"/>
  <c r="AD21" i="42" s="1"/>
  <c r="E32" i="32"/>
  <c r="D51" i="1"/>
  <c r="D55" i="1"/>
  <c r="F48" i="1"/>
  <c r="G49" i="1"/>
  <c r="G54" i="1"/>
  <c r="H51" i="1"/>
  <c r="H55" i="1"/>
  <c r="C82" i="1"/>
  <c r="V135" i="1"/>
  <c r="D52" i="1"/>
  <c r="F49" i="1"/>
  <c r="I53" i="1"/>
  <c r="G135" i="1"/>
  <c r="AA135" i="1"/>
  <c r="D48" i="1"/>
  <c r="D53" i="1"/>
  <c r="E49" i="1"/>
  <c r="E54" i="1"/>
  <c r="F51" i="1"/>
  <c r="F55" i="1"/>
  <c r="G52" i="1"/>
  <c r="H48" i="1"/>
  <c r="H53" i="1"/>
  <c r="I49" i="1"/>
  <c r="I54" i="1"/>
  <c r="C84" i="1"/>
  <c r="F32" i="32"/>
  <c r="Q135" i="1"/>
  <c r="E52" i="1"/>
  <c r="F53" i="1"/>
  <c r="I52" i="1"/>
  <c r="E48" i="1"/>
  <c r="E53" i="1"/>
  <c r="F54" i="1"/>
  <c r="G50" i="1"/>
  <c r="G55" i="1"/>
  <c r="H52" i="1"/>
  <c r="I48" i="1"/>
  <c r="C83" i="1"/>
  <c r="L135" i="1"/>
  <c r="AF135" i="1"/>
  <c r="AG135" i="1" s="1"/>
  <c r="AH135" i="1" s="1"/>
  <c r="AI135" i="1" s="1"/>
  <c r="AJ135" i="1" s="1"/>
  <c r="AK135" i="1" s="1"/>
  <c r="AL135" i="1" s="1"/>
  <c r="AM135" i="1" s="1"/>
  <c r="AN135" i="1" s="1"/>
  <c r="AO135" i="1" s="1"/>
  <c r="AP135" i="1" s="1"/>
  <c r="D49" i="1"/>
  <c r="D54" i="1"/>
  <c r="E51" i="1"/>
  <c r="E55" i="1"/>
  <c r="F52" i="1"/>
  <c r="G48" i="1"/>
  <c r="G53" i="1"/>
  <c r="H49" i="1"/>
  <c r="H54" i="1"/>
  <c r="I50" i="1"/>
  <c r="I55" i="1"/>
  <c r="G32" i="32"/>
  <c r="F33" i="32"/>
  <c r="G33" i="32" s="1"/>
  <c r="H33" i="32" s="1"/>
  <c r="I33" i="32" s="1"/>
  <c r="J33" i="32" s="1"/>
  <c r="K33" i="32" s="1"/>
  <c r="L33" i="32" s="1"/>
  <c r="M33" i="32" s="1"/>
  <c r="N33" i="32" s="1"/>
  <c r="O33" i="32" s="1"/>
  <c r="P33" i="32" s="1"/>
  <c r="Q33" i="32" s="1"/>
  <c r="R33" i="32" s="1"/>
  <c r="J23" i="32" l="1"/>
  <c r="I32" i="32"/>
  <c r="C33" i="32"/>
  <c r="J8" i="51"/>
  <c r="J9" i="51" s="1"/>
  <c r="J8" i="52" s="1"/>
  <c r="AF8" i="51"/>
  <c r="AF9" i="51" s="1"/>
  <c r="AF8" i="52" s="1"/>
  <c r="X8" i="51"/>
  <c r="X9" i="51" s="1"/>
  <c r="X8" i="52" s="1"/>
  <c r="I8" i="51"/>
  <c r="I9" i="51" s="1"/>
  <c r="I8" i="52" s="1"/>
  <c r="Z8" i="51"/>
  <c r="Z9" i="51" s="1"/>
  <c r="Z8" i="52" s="1"/>
  <c r="W8" i="51"/>
  <c r="W9" i="51" s="1"/>
  <c r="W8" i="52" s="1"/>
  <c r="P8" i="51"/>
  <c r="P9" i="51" s="1"/>
  <c r="P8" i="52" s="1"/>
  <c r="Y8" i="51"/>
  <c r="Y9" i="51" s="1"/>
  <c r="Y8" i="52" s="1"/>
  <c r="AB8" i="51"/>
  <c r="AB9" i="51" s="1"/>
  <c r="AB8" i="52" s="1"/>
  <c r="T8" i="51"/>
  <c r="T9" i="51" s="1"/>
  <c r="T8" i="52" s="1"/>
  <c r="L8" i="51"/>
  <c r="L9" i="51" s="1"/>
  <c r="L8" i="52" s="1"/>
  <c r="E8" i="51"/>
  <c r="E9" i="51" s="1"/>
  <c r="E8" i="52" s="1"/>
  <c r="AE8" i="51"/>
  <c r="AE9" i="51" s="1"/>
  <c r="AE8" i="52" s="1"/>
  <c r="G8" i="51"/>
  <c r="G9" i="51" s="1"/>
  <c r="G8" i="52" s="1"/>
  <c r="O8" i="51"/>
  <c r="O9" i="51" s="1"/>
  <c r="O8" i="52" s="1"/>
  <c r="M8" i="51"/>
  <c r="M9" i="51" s="1"/>
  <c r="M8" i="52" s="1"/>
  <c r="S8" i="51"/>
  <c r="S9" i="51" s="1"/>
  <c r="S8" i="52" s="1"/>
  <c r="V8" i="51"/>
  <c r="V9" i="51" s="1"/>
  <c r="V8" i="52" s="1"/>
  <c r="AG8" i="51"/>
  <c r="AG9" i="51" s="1"/>
  <c r="AG8" i="52" s="1"/>
  <c r="H8" i="51"/>
  <c r="H9" i="51" s="1"/>
  <c r="H8" i="52" s="1"/>
  <c r="AD8" i="51"/>
  <c r="AD9" i="51" s="1"/>
  <c r="AD8" i="52" s="1"/>
  <c r="AC8" i="51"/>
  <c r="AC9" i="51" s="1"/>
  <c r="AC8" i="52" s="1"/>
  <c r="F8" i="51"/>
  <c r="F9" i="51" s="1"/>
  <c r="F8" i="52" s="1"/>
  <c r="R8" i="51"/>
  <c r="R9" i="51" s="1"/>
  <c r="R8" i="52" s="1"/>
  <c r="D8" i="51"/>
  <c r="N8" i="51"/>
  <c r="N9" i="51" s="1"/>
  <c r="N8" i="52" s="1"/>
  <c r="Q8" i="51"/>
  <c r="Q9" i="51" s="1"/>
  <c r="Q8" i="52" s="1"/>
  <c r="U8" i="51"/>
  <c r="U9" i="51" s="1"/>
  <c r="U8" i="52" s="1"/>
  <c r="K8" i="51"/>
  <c r="K9" i="51" s="1"/>
  <c r="K8" i="52" s="1"/>
  <c r="AA8" i="51"/>
  <c r="AA9" i="51" s="1"/>
  <c r="AA8" i="52" s="1"/>
  <c r="AE8" i="18"/>
  <c r="AE9" i="18" s="1"/>
  <c r="AE8" i="19" s="1"/>
  <c r="N8" i="18"/>
  <c r="N9" i="18" s="1"/>
  <c r="N8" i="19" s="1"/>
  <c r="D8" i="18"/>
  <c r="AB8" i="18"/>
  <c r="AB9" i="18" s="1"/>
  <c r="AB8" i="19" s="1"/>
  <c r="S8" i="18"/>
  <c r="S9" i="18" s="1"/>
  <c r="S8" i="19" s="1"/>
  <c r="R8" i="18"/>
  <c r="R9" i="18" s="1"/>
  <c r="R8" i="19" s="1"/>
  <c r="J8" i="18"/>
  <c r="J9" i="18" s="1"/>
  <c r="J8" i="19" s="1"/>
  <c r="AG8" i="18"/>
  <c r="AG9" i="18" s="1"/>
  <c r="AG8" i="19" s="1"/>
  <c r="I8" i="18"/>
  <c r="I9" i="18" s="1"/>
  <c r="I8" i="19" s="1"/>
  <c r="T8" i="18"/>
  <c r="T9" i="18" s="1"/>
  <c r="T8" i="19" s="1"/>
  <c r="H8" i="18"/>
  <c r="H9" i="18" s="1"/>
  <c r="H8" i="19" s="1"/>
  <c r="G8" i="18"/>
  <c r="G9" i="18" s="1"/>
  <c r="G8" i="19" s="1"/>
  <c r="Y8" i="18"/>
  <c r="Y9" i="18" s="1"/>
  <c r="Y8" i="19" s="1"/>
  <c r="AF8" i="18"/>
  <c r="AF9" i="18" s="1"/>
  <c r="AF8" i="19" s="1"/>
  <c r="AD8" i="18"/>
  <c r="AD9" i="18" s="1"/>
  <c r="AD8" i="19" s="1"/>
  <c r="V8" i="18"/>
  <c r="V9" i="18" s="1"/>
  <c r="V8" i="19" s="1"/>
  <c r="X8" i="18"/>
  <c r="X9" i="18" s="1"/>
  <c r="X8" i="19" s="1"/>
  <c r="W8" i="18"/>
  <c r="W9" i="18" s="1"/>
  <c r="W8" i="19" s="1"/>
  <c r="K8" i="18"/>
  <c r="K9" i="18" s="1"/>
  <c r="K8" i="19" s="1"/>
  <c r="U8" i="18"/>
  <c r="U9" i="18" s="1"/>
  <c r="U8" i="19" s="1"/>
  <c r="L8" i="18"/>
  <c r="L9" i="18" s="1"/>
  <c r="L8" i="19" s="1"/>
  <c r="F8" i="18"/>
  <c r="F9" i="18" s="1"/>
  <c r="F8" i="19" s="1"/>
  <c r="Z8" i="18"/>
  <c r="Z9" i="18" s="1"/>
  <c r="Z8" i="19" s="1"/>
  <c r="P8" i="18"/>
  <c r="P9" i="18" s="1"/>
  <c r="P8" i="19" s="1"/>
  <c r="M8" i="18"/>
  <c r="M9" i="18" s="1"/>
  <c r="M8" i="19" s="1"/>
  <c r="Q8" i="18"/>
  <c r="Q9" i="18" s="1"/>
  <c r="Q8" i="19" s="1"/>
  <c r="E8" i="18"/>
  <c r="E9" i="18" s="1"/>
  <c r="E8" i="19" s="1"/>
  <c r="AA8" i="18"/>
  <c r="AA9" i="18" s="1"/>
  <c r="AA8" i="19" s="1"/>
  <c r="AC8" i="18"/>
  <c r="AC9" i="18" s="1"/>
  <c r="AC8" i="19" s="1"/>
  <c r="O8" i="18"/>
  <c r="O9" i="18" s="1"/>
  <c r="O8" i="19" s="1"/>
  <c r="V5" i="10"/>
  <c r="AE42" i="42"/>
  <c r="AE21" i="42" s="1"/>
  <c r="AB41" i="42"/>
  <c r="AB20" i="42" s="1"/>
  <c r="Z37" i="42"/>
  <c r="Z6" i="42" s="1"/>
  <c r="AA40" i="42"/>
  <c r="AA19" i="42" s="1"/>
  <c r="AA43" i="42"/>
  <c r="AA22" i="42" s="1"/>
  <c r="K23" i="32" l="1"/>
  <c r="J32" i="32"/>
  <c r="C8" i="18"/>
  <c r="D9" i="18"/>
  <c r="D9" i="51"/>
  <c r="C8" i="51"/>
  <c r="Z16" i="42"/>
  <c r="Z4" i="42" s="1"/>
  <c r="W5" i="10" s="1"/>
  <c r="AB40" i="42"/>
  <c r="AB19" i="42" s="1"/>
  <c r="AA37" i="42"/>
  <c r="AA6" i="42" s="1"/>
  <c r="AC41" i="42"/>
  <c r="AC20" i="42" s="1"/>
  <c r="AB43" i="42"/>
  <c r="AB22" i="42" s="1"/>
  <c r="AF42" i="42"/>
  <c r="AF21" i="42" s="1"/>
  <c r="L23" i="32" l="1"/>
  <c r="K32" i="32"/>
  <c r="D8" i="52"/>
  <c r="C8" i="52" s="1"/>
  <c r="C9" i="51"/>
  <c r="D8" i="19"/>
  <c r="C9" i="18"/>
  <c r="AA16" i="42"/>
  <c r="AA4" i="42" s="1"/>
  <c r="X5" i="10" s="1"/>
  <c r="AG42" i="42"/>
  <c r="AG21" i="42" s="1"/>
  <c r="AC43" i="42"/>
  <c r="AC22" i="42" s="1"/>
  <c r="AD41" i="42"/>
  <c r="AD20" i="42" s="1"/>
  <c r="AC40" i="42"/>
  <c r="AC19" i="42" s="1"/>
  <c r="AB37" i="42"/>
  <c r="AB6" i="42" s="1"/>
  <c r="L18" i="35"/>
  <c r="L32" i="36" s="1"/>
  <c r="M18" i="35"/>
  <c r="M48" i="36" s="1"/>
  <c r="N18" i="35"/>
  <c r="N48" i="36" s="1"/>
  <c r="O18" i="35"/>
  <c r="O48" i="36" s="1"/>
  <c r="P18" i="35"/>
  <c r="P32" i="36" s="1"/>
  <c r="Q18" i="35"/>
  <c r="Q32" i="36" s="1"/>
  <c r="R18" i="35"/>
  <c r="R48" i="36" s="1"/>
  <c r="S18" i="35"/>
  <c r="S32" i="36" s="1"/>
  <c r="T18" i="35"/>
  <c r="T32" i="36" s="1"/>
  <c r="U18" i="35"/>
  <c r="U48" i="36" s="1"/>
  <c r="V18" i="35"/>
  <c r="V48" i="36" s="1"/>
  <c r="W18" i="35"/>
  <c r="W48" i="36" s="1"/>
  <c r="X18" i="35"/>
  <c r="X32" i="36" s="1"/>
  <c r="Y18" i="35"/>
  <c r="Y32" i="36" s="1"/>
  <c r="Z18" i="35"/>
  <c r="Z48" i="36" s="1"/>
  <c r="AA18" i="35"/>
  <c r="AA32" i="36" s="1"/>
  <c r="AB18" i="35"/>
  <c r="AB48" i="36" s="1"/>
  <c r="AC18" i="35"/>
  <c r="AC48" i="36" s="1"/>
  <c r="AD18" i="35"/>
  <c r="AD48" i="36" s="1"/>
  <c r="AE48" i="36"/>
  <c r="AF32" i="36"/>
  <c r="C8" i="19" l="1"/>
  <c r="D36" i="32"/>
  <c r="E36" i="32" s="1"/>
  <c r="F36" i="32" s="1"/>
  <c r="G36" i="32" s="1"/>
  <c r="H36" i="32" s="1"/>
  <c r="I36" i="32" s="1"/>
  <c r="J36" i="32" s="1"/>
  <c r="K36" i="32" s="1"/>
  <c r="L36" i="32" s="1"/>
  <c r="M36" i="32" s="1"/>
  <c r="N36" i="32" s="1"/>
  <c r="O36" i="32" s="1"/>
  <c r="P36" i="32" s="1"/>
  <c r="Q36" i="32" s="1"/>
  <c r="R36" i="32" s="1"/>
  <c r="L32" i="32"/>
  <c r="M23" i="32"/>
  <c r="C36" i="32"/>
  <c r="AB16" i="42"/>
  <c r="AB4" i="42" s="1"/>
  <c r="Y5" i="10" s="1"/>
  <c r="AD40" i="42"/>
  <c r="AD19" i="42" s="1"/>
  <c r="AC37" i="42"/>
  <c r="AC6" i="42" s="1"/>
  <c r="AE41" i="42"/>
  <c r="AE20" i="42" s="1"/>
  <c r="AD43" i="42"/>
  <c r="AD22" i="42" s="1"/>
  <c r="AH42" i="42"/>
  <c r="AD32" i="36"/>
  <c r="AC32" i="36"/>
  <c r="N32" i="36"/>
  <c r="M32" i="36"/>
  <c r="Z32" i="36"/>
  <c r="AF48" i="36"/>
  <c r="W32" i="36"/>
  <c r="V32" i="36"/>
  <c r="X48" i="36"/>
  <c r="U32" i="36"/>
  <c r="R32" i="36"/>
  <c r="P48" i="36"/>
  <c r="AE32" i="36"/>
  <c r="O32" i="36"/>
  <c r="T48" i="36"/>
  <c r="L48" i="36"/>
  <c r="S48" i="36"/>
  <c r="AB32" i="36"/>
  <c r="AA48" i="36"/>
  <c r="Y48" i="36"/>
  <c r="Q48" i="36"/>
  <c r="C20" i="36"/>
  <c r="N23" i="32" l="1"/>
  <c r="M32" i="32"/>
  <c r="AH21" i="42"/>
  <c r="AI42" i="42"/>
  <c r="AC16" i="42"/>
  <c r="AC4" i="42" s="1"/>
  <c r="Z5" i="10" s="1"/>
  <c r="AE43" i="42"/>
  <c r="AE22" i="42" s="1"/>
  <c r="AF41" i="42"/>
  <c r="AF20" i="42" s="1"/>
  <c r="AE40" i="42"/>
  <c r="AE19" i="42" s="1"/>
  <c r="AD37" i="42"/>
  <c r="AD6" i="42" s="1"/>
  <c r="L5" i="36"/>
  <c r="L51" i="36" s="1"/>
  <c r="M5" i="36"/>
  <c r="M51" i="36" s="1"/>
  <c r="N5" i="36"/>
  <c r="N51" i="36" s="1"/>
  <c r="O5" i="36"/>
  <c r="O51" i="36" s="1"/>
  <c r="P5" i="36"/>
  <c r="P51" i="36" s="1"/>
  <c r="Q5" i="36"/>
  <c r="Q51" i="36" s="1"/>
  <c r="R5" i="36"/>
  <c r="R51" i="36" s="1"/>
  <c r="S5" i="36"/>
  <c r="S51" i="36" s="1"/>
  <c r="T5" i="36"/>
  <c r="T51" i="36" s="1"/>
  <c r="U5" i="36"/>
  <c r="U51" i="36" s="1"/>
  <c r="V5" i="36"/>
  <c r="V51" i="36" s="1"/>
  <c r="W5" i="36"/>
  <c r="W51" i="36" s="1"/>
  <c r="X5" i="36"/>
  <c r="X51" i="36" s="1"/>
  <c r="Y5" i="36"/>
  <c r="Y51" i="36" s="1"/>
  <c r="Z5" i="36"/>
  <c r="Z51" i="36" s="1"/>
  <c r="AA5" i="36"/>
  <c r="AA51" i="36" s="1"/>
  <c r="AB5" i="36"/>
  <c r="AB51" i="36" s="1"/>
  <c r="AC5" i="36"/>
  <c r="AC51" i="36" s="1"/>
  <c r="AD5" i="36"/>
  <c r="AD51" i="36" s="1"/>
  <c r="AE5" i="36"/>
  <c r="AE51" i="36" s="1"/>
  <c r="AF5" i="36"/>
  <c r="AF51" i="36" s="1"/>
  <c r="F5" i="32"/>
  <c r="F6" i="32"/>
  <c r="G6" i="32" s="1"/>
  <c r="H6" i="32" s="1"/>
  <c r="F7" i="32"/>
  <c r="G7" i="32" s="1"/>
  <c r="F8" i="32"/>
  <c r="G8" i="32" s="1"/>
  <c r="F9" i="32"/>
  <c r="G9" i="32" s="1"/>
  <c r="F10" i="32"/>
  <c r="E28" i="2"/>
  <c r="F28" i="2"/>
  <c r="G28" i="2"/>
  <c r="H28" i="2"/>
  <c r="I28" i="2"/>
  <c r="J28" i="2"/>
  <c r="K28" i="2"/>
  <c r="E27" i="2"/>
  <c r="F27" i="2"/>
  <c r="G27" i="2"/>
  <c r="H27" i="2"/>
  <c r="I27" i="2"/>
  <c r="J27" i="2"/>
  <c r="K27" i="2"/>
  <c r="G26" i="2"/>
  <c r="J26" i="2"/>
  <c r="K26" i="2"/>
  <c r="J25" i="2"/>
  <c r="K25" i="2"/>
  <c r="E5" i="2"/>
  <c r="J5" i="2"/>
  <c r="J10" i="2" s="1"/>
  <c r="K5" i="2"/>
  <c r="K10" i="2" s="1"/>
  <c r="D5" i="2"/>
  <c r="I5" i="2"/>
  <c r="I10" i="2" s="1"/>
  <c r="H25" i="2"/>
  <c r="G25" i="2"/>
  <c r="F5" i="2"/>
  <c r="AF53" i="36"/>
  <c r="AE53" i="36"/>
  <c r="AD53" i="36"/>
  <c r="AC53" i="36"/>
  <c r="AB53" i="36"/>
  <c r="AA53" i="36"/>
  <c r="Z53" i="36"/>
  <c r="Y53" i="36"/>
  <c r="X53" i="36"/>
  <c r="W53" i="36"/>
  <c r="V53" i="36"/>
  <c r="U53" i="36"/>
  <c r="T53" i="36"/>
  <c r="S53" i="36"/>
  <c r="R53" i="36"/>
  <c r="Q53" i="36"/>
  <c r="P53" i="36"/>
  <c r="O53" i="36"/>
  <c r="N53" i="36"/>
  <c r="M53" i="36"/>
  <c r="L53" i="36"/>
  <c r="K53" i="36"/>
  <c r="J53" i="36"/>
  <c r="I53" i="36"/>
  <c r="H53" i="36"/>
  <c r="G53" i="36"/>
  <c r="F53" i="36"/>
  <c r="E53" i="36"/>
  <c r="D53" i="36"/>
  <c r="AF37" i="36"/>
  <c r="AE37" i="36"/>
  <c r="AD37" i="36"/>
  <c r="AC37" i="36"/>
  <c r="AB37" i="36"/>
  <c r="AA37" i="36"/>
  <c r="Z37" i="36"/>
  <c r="Y37" i="36"/>
  <c r="X37" i="36"/>
  <c r="W37" i="36"/>
  <c r="V37" i="36"/>
  <c r="U37" i="36"/>
  <c r="T37" i="36"/>
  <c r="S37" i="36"/>
  <c r="R37" i="36"/>
  <c r="Q37" i="36"/>
  <c r="P37" i="36"/>
  <c r="O37" i="36"/>
  <c r="N37" i="36"/>
  <c r="M37" i="36"/>
  <c r="L37" i="36"/>
  <c r="K37" i="36"/>
  <c r="J37" i="36"/>
  <c r="I37" i="36"/>
  <c r="H37" i="36"/>
  <c r="G37" i="36"/>
  <c r="F37" i="36"/>
  <c r="E37" i="36"/>
  <c r="D37" i="36"/>
  <c r="D4" i="36"/>
  <c r="AF22" i="34"/>
  <c r="AE22" i="34"/>
  <c r="AD22" i="34"/>
  <c r="AC22" i="34"/>
  <c r="AB22" i="34"/>
  <c r="AA22" i="34"/>
  <c r="Z22" i="34"/>
  <c r="Y22" i="34"/>
  <c r="X22" i="34"/>
  <c r="W22" i="34"/>
  <c r="V22" i="34"/>
  <c r="U22" i="34"/>
  <c r="T22" i="34"/>
  <c r="S22" i="34"/>
  <c r="R22" i="34"/>
  <c r="Q22" i="34"/>
  <c r="P22" i="34"/>
  <c r="O22" i="34"/>
  <c r="N22" i="34"/>
  <c r="M22" i="34"/>
  <c r="L22" i="34"/>
  <c r="K22" i="34"/>
  <c r="J22" i="34"/>
  <c r="I22" i="34"/>
  <c r="H22" i="34"/>
  <c r="G22" i="34"/>
  <c r="F22" i="34"/>
  <c r="E22" i="34"/>
  <c r="D22" i="34"/>
  <c r="AF21" i="34"/>
  <c r="AF23" i="34" s="1"/>
  <c r="AF21" i="36" s="1"/>
  <c r="AF23" i="36" s="1"/>
  <c r="AE21" i="34"/>
  <c r="AD21" i="34"/>
  <c r="AC21" i="34"/>
  <c r="AB21" i="34"/>
  <c r="AA21" i="34"/>
  <c r="Z21" i="34"/>
  <c r="Y21" i="34"/>
  <c r="X21" i="34"/>
  <c r="X23" i="34" s="1"/>
  <c r="X21" i="36" s="1"/>
  <c r="X23" i="36" s="1"/>
  <c r="W21" i="34"/>
  <c r="V21" i="34"/>
  <c r="U21" i="34"/>
  <c r="T21" i="34"/>
  <c r="S21" i="34"/>
  <c r="R21" i="34"/>
  <c r="Q21" i="34"/>
  <c r="P21" i="34"/>
  <c r="P23" i="34" s="1"/>
  <c r="P21" i="36" s="1"/>
  <c r="P23" i="36" s="1"/>
  <c r="O21" i="34"/>
  <c r="N21" i="34"/>
  <c r="M21" i="34"/>
  <c r="L21" i="34"/>
  <c r="K21" i="34"/>
  <c r="J21" i="34"/>
  <c r="I21" i="34"/>
  <c r="H21" i="34"/>
  <c r="H23" i="34" s="1"/>
  <c r="H21" i="36" s="1"/>
  <c r="H23" i="36" s="1"/>
  <c r="G21" i="34"/>
  <c r="F21" i="34"/>
  <c r="E21" i="34"/>
  <c r="D21" i="34"/>
  <c r="AF15" i="34"/>
  <c r="AF49" i="36" s="1"/>
  <c r="AF50" i="36" s="1"/>
  <c r="AE15" i="34"/>
  <c r="AE49" i="36" s="1"/>
  <c r="AE50" i="36" s="1"/>
  <c r="AD15" i="34"/>
  <c r="AD49" i="36" s="1"/>
  <c r="AD50" i="36" s="1"/>
  <c r="AC15" i="34"/>
  <c r="AC49" i="36" s="1"/>
  <c r="AC50" i="36" s="1"/>
  <c r="AB15" i="34"/>
  <c r="AB49" i="36" s="1"/>
  <c r="AB50" i="36" s="1"/>
  <c r="AA15" i="34"/>
  <c r="AA49" i="36" s="1"/>
  <c r="AA50" i="36" s="1"/>
  <c r="Z15" i="34"/>
  <c r="Z49" i="36" s="1"/>
  <c r="Z50" i="36" s="1"/>
  <c r="Y15" i="34"/>
  <c r="Y49" i="36" s="1"/>
  <c r="Y50" i="36" s="1"/>
  <c r="X15" i="34"/>
  <c r="X49" i="36" s="1"/>
  <c r="X50" i="36" s="1"/>
  <c r="W15" i="34"/>
  <c r="W49" i="36" s="1"/>
  <c r="W50" i="36" s="1"/>
  <c r="V15" i="34"/>
  <c r="V49" i="36" s="1"/>
  <c r="V50" i="36" s="1"/>
  <c r="U15" i="34"/>
  <c r="U49" i="36" s="1"/>
  <c r="U50" i="36" s="1"/>
  <c r="T15" i="34"/>
  <c r="T49" i="36" s="1"/>
  <c r="T50" i="36" s="1"/>
  <c r="S15" i="34"/>
  <c r="S49" i="36" s="1"/>
  <c r="S50" i="36" s="1"/>
  <c r="R15" i="34"/>
  <c r="R49" i="36" s="1"/>
  <c r="R50" i="36" s="1"/>
  <c r="Q15" i="34"/>
  <c r="Q49" i="36" s="1"/>
  <c r="Q50" i="36" s="1"/>
  <c r="P15" i="34"/>
  <c r="P49" i="36" s="1"/>
  <c r="P50" i="36" s="1"/>
  <c r="O15" i="34"/>
  <c r="O49" i="36" s="1"/>
  <c r="O50" i="36" s="1"/>
  <c r="N15" i="34"/>
  <c r="N49" i="36" s="1"/>
  <c r="N50" i="36" s="1"/>
  <c r="M15" i="34"/>
  <c r="M49" i="36" s="1"/>
  <c r="M50" i="36" s="1"/>
  <c r="L15" i="34"/>
  <c r="L49" i="36" s="1"/>
  <c r="L50" i="36" s="1"/>
  <c r="K15" i="34"/>
  <c r="K49" i="36" s="1"/>
  <c r="J15" i="34"/>
  <c r="J49" i="36" s="1"/>
  <c r="I15" i="34"/>
  <c r="I49" i="36" s="1"/>
  <c r="H15" i="34"/>
  <c r="H49" i="36" s="1"/>
  <c r="G15" i="34"/>
  <c r="G49" i="36" s="1"/>
  <c r="F15" i="34"/>
  <c r="F49" i="36" s="1"/>
  <c r="E15" i="34"/>
  <c r="E49" i="36" s="1"/>
  <c r="D15" i="34"/>
  <c r="D49" i="36" s="1"/>
  <c r="C14" i="34"/>
  <c r="C13" i="34"/>
  <c r="AF7" i="34"/>
  <c r="AE7" i="34"/>
  <c r="AD7" i="34"/>
  <c r="AC7" i="34"/>
  <c r="AB7" i="34"/>
  <c r="AA7" i="34"/>
  <c r="Z7" i="34"/>
  <c r="Y7" i="34"/>
  <c r="X7" i="34"/>
  <c r="W7" i="34"/>
  <c r="V7" i="34"/>
  <c r="U7" i="34"/>
  <c r="T7" i="34"/>
  <c r="S7" i="34"/>
  <c r="R7" i="34"/>
  <c r="Q7" i="34"/>
  <c r="P7" i="34"/>
  <c r="O7" i="34"/>
  <c r="N7" i="34"/>
  <c r="M7" i="34"/>
  <c r="L7" i="34"/>
  <c r="K7" i="34"/>
  <c r="J7" i="34"/>
  <c r="I7" i="34"/>
  <c r="H7" i="34"/>
  <c r="G7" i="34"/>
  <c r="F7" i="34"/>
  <c r="E7" i="34"/>
  <c r="D7" i="34"/>
  <c r="C6" i="34"/>
  <c r="C5" i="34"/>
  <c r="D4" i="34"/>
  <c r="F4" i="32"/>
  <c r="J28" i="31"/>
  <c r="I28" i="31"/>
  <c r="H28" i="31"/>
  <c r="G28" i="31"/>
  <c r="F28" i="31"/>
  <c r="E28" i="31"/>
  <c r="D28" i="31"/>
  <c r="J27" i="31"/>
  <c r="I27" i="31"/>
  <c r="H27" i="31"/>
  <c r="G27" i="31"/>
  <c r="F27" i="31"/>
  <c r="E27" i="31"/>
  <c r="D27" i="31"/>
  <c r="J26" i="31"/>
  <c r="I26" i="31"/>
  <c r="H26" i="31"/>
  <c r="G26" i="31"/>
  <c r="F26" i="31"/>
  <c r="E26" i="31"/>
  <c r="D26" i="31"/>
  <c r="J25" i="31"/>
  <c r="I25" i="31"/>
  <c r="H25" i="31"/>
  <c r="G25" i="31"/>
  <c r="F25" i="31"/>
  <c r="E25" i="31"/>
  <c r="D25" i="31"/>
  <c r="C11" i="31"/>
  <c r="C9" i="31"/>
  <c r="C8" i="31"/>
  <c r="C7" i="31"/>
  <c r="C6" i="31"/>
  <c r="J5" i="31"/>
  <c r="J10" i="31" s="1"/>
  <c r="J5" i="6" s="1"/>
  <c r="I5" i="31"/>
  <c r="I10" i="31" s="1"/>
  <c r="I5" i="6" s="1"/>
  <c r="H5" i="31"/>
  <c r="H10" i="31" s="1"/>
  <c r="H5" i="6" s="1"/>
  <c r="G5" i="31"/>
  <c r="G10" i="31" s="1"/>
  <c r="G5" i="6" s="1"/>
  <c r="F5" i="31"/>
  <c r="F10" i="31" s="1"/>
  <c r="F5" i="6" s="1"/>
  <c r="E5" i="31"/>
  <c r="E10" i="31" s="1"/>
  <c r="E5" i="6" s="1"/>
  <c r="D5" i="31"/>
  <c r="D4" i="31"/>
  <c r="D23" i="31" s="1"/>
  <c r="N32" i="32" l="1"/>
  <c r="O23" i="32"/>
  <c r="AJ42" i="42"/>
  <c r="AI21" i="42"/>
  <c r="Z4" i="36"/>
  <c r="Z47" i="36" s="1"/>
  <c r="AG4" i="36"/>
  <c r="AF4" i="34"/>
  <c r="AF20" i="34" s="1"/>
  <c r="AG4" i="34"/>
  <c r="AD16" i="42"/>
  <c r="AD4" i="42" s="1"/>
  <c r="AF40" i="42"/>
  <c r="AF19" i="42" s="1"/>
  <c r="AE37" i="42"/>
  <c r="AE6" i="42" s="1"/>
  <c r="AG41" i="42"/>
  <c r="AG20" i="42" s="1"/>
  <c r="AA5" i="10"/>
  <c r="AF43" i="42"/>
  <c r="AF22" i="42" s="1"/>
  <c r="I23" i="34"/>
  <c r="I21" i="36" s="1"/>
  <c r="I23" i="36" s="1"/>
  <c r="Q23" i="34"/>
  <c r="Q21" i="36" s="1"/>
  <c r="Q23" i="36" s="1"/>
  <c r="Y23" i="34"/>
  <c r="Y21" i="36" s="1"/>
  <c r="Y23" i="36" s="1"/>
  <c r="R23" i="34"/>
  <c r="R21" i="36" s="1"/>
  <c r="R23" i="36" s="1"/>
  <c r="Z23" i="34"/>
  <c r="Z21" i="36" s="1"/>
  <c r="Z23" i="36" s="1"/>
  <c r="U23" i="34"/>
  <c r="U21" i="36" s="1"/>
  <c r="U23" i="36" s="1"/>
  <c r="F23" i="34"/>
  <c r="F21" i="36" s="1"/>
  <c r="F23" i="36" s="1"/>
  <c r="N23" i="34"/>
  <c r="N21" i="36" s="1"/>
  <c r="N23" i="36" s="1"/>
  <c r="V23" i="34"/>
  <c r="V21" i="36" s="1"/>
  <c r="V23" i="36" s="1"/>
  <c r="AD23" i="34"/>
  <c r="AD21" i="36" s="1"/>
  <c r="AD23" i="36" s="1"/>
  <c r="J23" i="34"/>
  <c r="J21" i="36" s="1"/>
  <c r="J23" i="36" s="1"/>
  <c r="E23" i="34"/>
  <c r="E21" i="36" s="1"/>
  <c r="E23" i="36" s="1"/>
  <c r="M23" i="34"/>
  <c r="M21" i="36" s="1"/>
  <c r="M23" i="36" s="1"/>
  <c r="AC23" i="34"/>
  <c r="AC21" i="36" s="1"/>
  <c r="AC23" i="36" s="1"/>
  <c r="O54" i="36"/>
  <c r="O55" i="36" s="1"/>
  <c r="W54" i="36"/>
  <c r="W55" i="36" s="1"/>
  <c r="AE54" i="36"/>
  <c r="AE55" i="36" s="1"/>
  <c r="H9" i="32"/>
  <c r="I9" i="32" s="1"/>
  <c r="F12" i="31"/>
  <c r="F17" i="31"/>
  <c r="G12" i="31"/>
  <c r="G17" i="31"/>
  <c r="H12" i="31"/>
  <c r="H17" i="31"/>
  <c r="L54" i="36"/>
  <c r="L55" i="36" s="1"/>
  <c r="T54" i="36"/>
  <c r="T55" i="36" s="1"/>
  <c r="AB54" i="36"/>
  <c r="AB55" i="36" s="1"/>
  <c r="I25" i="2"/>
  <c r="H8" i="32"/>
  <c r="I8" i="32" s="1"/>
  <c r="J12" i="31"/>
  <c r="J17" i="31"/>
  <c r="E12" i="31"/>
  <c r="E17" i="31"/>
  <c r="I12" i="31"/>
  <c r="I17" i="31"/>
  <c r="C49" i="36"/>
  <c r="K24" i="2"/>
  <c r="K29" i="2" s="1"/>
  <c r="K5" i="19" s="1"/>
  <c r="H7" i="32"/>
  <c r="I7" i="32" s="1"/>
  <c r="D24" i="31"/>
  <c r="D29" i="31" s="1"/>
  <c r="D5" i="52" s="1"/>
  <c r="H24" i="31"/>
  <c r="H29" i="31" s="1"/>
  <c r="H5" i="52" s="1"/>
  <c r="G24" i="31"/>
  <c r="G29" i="31" s="1"/>
  <c r="G5" i="52" s="1"/>
  <c r="C26" i="31"/>
  <c r="G10" i="32"/>
  <c r="F24" i="31"/>
  <c r="F29" i="31" s="1"/>
  <c r="F5" i="52" s="1"/>
  <c r="I24" i="31"/>
  <c r="I29" i="31" s="1"/>
  <c r="I5" i="52" s="1"/>
  <c r="J24" i="31"/>
  <c r="J29" i="31" s="1"/>
  <c r="J5" i="52" s="1"/>
  <c r="K4" i="34"/>
  <c r="K12" i="34" s="1"/>
  <c r="AC4" i="34"/>
  <c r="AC12" i="34" s="1"/>
  <c r="Q4" i="36"/>
  <c r="Q31" i="36" s="1"/>
  <c r="Y4" i="34"/>
  <c r="Y12" i="34" s="1"/>
  <c r="G24" i="2"/>
  <c r="G29" i="2" s="1"/>
  <c r="G5" i="19" s="1"/>
  <c r="I4" i="34"/>
  <c r="I12" i="34" s="1"/>
  <c r="C28" i="31"/>
  <c r="M4" i="34"/>
  <c r="M12" i="34" s="1"/>
  <c r="AE4" i="34"/>
  <c r="AE12" i="34" s="1"/>
  <c r="AA4" i="36"/>
  <c r="AA17" i="36" s="1"/>
  <c r="U4" i="34"/>
  <c r="U12" i="34" s="1"/>
  <c r="C25" i="31"/>
  <c r="E4" i="34"/>
  <c r="E12" i="34" s="1"/>
  <c r="AA4" i="34"/>
  <c r="AA12" i="34" s="1"/>
  <c r="F4" i="36"/>
  <c r="F47" i="36" s="1"/>
  <c r="C27" i="31"/>
  <c r="O4" i="34"/>
  <c r="O12" i="34" s="1"/>
  <c r="D17" i="36"/>
  <c r="W4" i="34"/>
  <c r="G4" i="34"/>
  <c r="G12" i="34" s="1"/>
  <c r="Q4" i="34"/>
  <c r="Q12" i="34" s="1"/>
  <c r="K18" i="35"/>
  <c r="K5" i="36"/>
  <c r="K12" i="2"/>
  <c r="J18" i="35"/>
  <c r="J5" i="36"/>
  <c r="J12" i="2"/>
  <c r="I18" i="35"/>
  <c r="I5" i="36"/>
  <c r="I12" i="2"/>
  <c r="S54" i="36"/>
  <c r="S55" i="36" s="1"/>
  <c r="AA54" i="36"/>
  <c r="AA55" i="36" s="1"/>
  <c r="G4" i="36"/>
  <c r="G31" i="36" s="1"/>
  <c r="R4" i="36"/>
  <c r="R47" i="36" s="1"/>
  <c r="AC4" i="36"/>
  <c r="AC47" i="36" s="1"/>
  <c r="C37" i="36"/>
  <c r="I4" i="36"/>
  <c r="I47" i="36" s="1"/>
  <c r="S4" i="36"/>
  <c r="S17" i="36" s="1"/>
  <c r="AD4" i="36"/>
  <c r="AD47" i="36" s="1"/>
  <c r="E4" i="31"/>
  <c r="E23" i="31" s="1"/>
  <c r="M54" i="36"/>
  <c r="M55" i="36" s="1"/>
  <c r="U54" i="36"/>
  <c r="U55" i="36" s="1"/>
  <c r="AC54" i="36"/>
  <c r="AC55" i="36" s="1"/>
  <c r="S4" i="34"/>
  <c r="D12" i="34"/>
  <c r="L23" i="34"/>
  <c r="T23" i="34"/>
  <c r="AB23" i="34"/>
  <c r="J4" i="36"/>
  <c r="J47" i="36" s="1"/>
  <c r="U4" i="36"/>
  <c r="U47" i="36" s="1"/>
  <c r="AE4" i="36"/>
  <c r="AE47" i="36" s="1"/>
  <c r="Y7" i="36"/>
  <c r="Y33" i="36" s="1"/>
  <c r="Y34" i="36" s="1"/>
  <c r="G4" i="31"/>
  <c r="G23" i="31" s="1"/>
  <c r="K4" i="36"/>
  <c r="K31" i="36" s="1"/>
  <c r="V4" i="36"/>
  <c r="V47" i="36" s="1"/>
  <c r="AF7" i="36"/>
  <c r="AF33" i="36" s="1"/>
  <c r="AF34" i="36" s="1"/>
  <c r="X7" i="36"/>
  <c r="X33" i="36" s="1"/>
  <c r="X34" i="36" s="1"/>
  <c r="P7" i="36"/>
  <c r="P33" i="36" s="1"/>
  <c r="P34" i="36" s="1"/>
  <c r="H7" i="36"/>
  <c r="H33" i="36" s="1"/>
  <c r="E24" i="31"/>
  <c r="E29" i="31" s="1"/>
  <c r="E5" i="52" s="1"/>
  <c r="C5" i="31"/>
  <c r="M4" i="36"/>
  <c r="M47" i="36" s="1"/>
  <c r="W4" i="36"/>
  <c r="W17" i="36" s="1"/>
  <c r="I26" i="2"/>
  <c r="P54" i="36"/>
  <c r="P55" i="36" s="1"/>
  <c r="X54" i="36"/>
  <c r="X55" i="36" s="1"/>
  <c r="AF54" i="36"/>
  <c r="AF55" i="36" s="1"/>
  <c r="N4" i="36"/>
  <c r="N47" i="36" s="1"/>
  <c r="Y4" i="36"/>
  <c r="Y31" i="36" s="1"/>
  <c r="I6" i="32"/>
  <c r="H5" i="2"/>
  <c r="H26" i="2"/>
  <c r="H24" i="2" s="1"/>
  <c r="H29" i="2" s="1"/>
  <c r="H5" i="19" s="1"/>
  <c r="V7" i="36"/>
  <c r="V33" i="36" s="1"/>
  <c r="V34" i="36" s="1"/>
  <c r="C53" i="36"/>
  <c r="Q54" i="36"/>
  <c r="Q55" i="36" s="1"/>
  <c r="Y54" i="36"/>
  <c r="Y55" i="36" s="1"/>
  <c r="E4" i="36"/>
  <c r="E47" i="36" s="1"/>
  <c r="O4" i="36"/>
  <c r="O31" i="36" s="1"/>
  <c r="G5" i="2"/>
  <c r="C15" i="34"/>
  <c r="K23" i="34"/>
  <c r="AA23" i="34"/>
  <c r="C21" i="34"/>
  <c r="C7" i="34"/>
  <c r="G23" i="34"/>
  <c r="O23" i="34"/>
  <c r="S23" i="34"/>
  <c r="W23" i="34"/>
  <c r="AE23" i="34"/>
  <c r="C22" i="34"/>
  <c r="R54" i="36"/>
  <c r="R55" i="36" s="1"/>
  <c r="V54" i="36"/>
  <c r="V55" i="36" s="1"/>
  <c r="Z54" i="36"/>
  <c r="Z55" i="36" s="1"/>
  <c r="AD54" i="36"/>
  <c r="AD55" i="36" s="1"/>
  <c r="J24" i="2"/>
  <c r="J29" i="2" s="1"/>
  <c r="J5" i="19" s="1"/>
  <c r="D47" i="36"/>
  <c r="D31" i="36"/>
  <c r="H4" i="36"/>
  <c r="L4" i="36"/>
  <c r="P4" i="36"/>
  <c r="T4" i="36"/>
  <c r="X4" i="36"/>
  <c r="AB4" i="36"/>
  <c r="AF4" i="36"/>
  <c r="Z31" i="36"/>
  <c r="AF12" i="34"/>
  <c r="F4" i="34"/>
  <c r="J4" i="34"/>
  <c r="N4" i="34"/>
  <c r="R4" i="34"/>
  <c r="V4" i="34"/>
  <c r="Z4" i="34"/>
  <c r="AD4" i="34"/>
  <c r="D20" i="34"/>
  <c r="D23" i="34"/>
  <c r="H4" i="34"/>
  <c r="L4" i="34"/>
  <c r="P4" i="34"/>
  <c r="T4" i="34"/>
  <c r="X4" i="34"/>
  <c r="AB4" i="34"/>
  <c r="F4" i="31"/>
  <c r="F23" i="31" s="1"/>
  <c r="D10" i="31"/>
  <c r="D105" i="1"/>
  <c r="E105" i="1" s="1"/>
  <c r="F105" i="1" s="1"/>
  <c r="G105" i="1" s="1"/>
  <c r="H105" i="1" s="1"/>
  <c r="I105" i="1" s="1"/>
  <c r="J105" i="1" s="1"/>
  <c r="K105" i="1" s="1"/>
  <c r="L105" i="1" s="1"/>
  <c r="M105" i="1" s="1"/>
  <c r="N105" i="1" s="1"/>
  <c r="O105" i="1" s="1"/>
  <c r="P105" i="1" s="1"/>
  <c r="Q105" i="1" s="1"/>
  <c r="R105" i="1" s="1"/>
  <c r="S105" i="1" s="1"/>
  <c r="T105" i="1" s="1"/>
  <c r="U105" i="1" s="1"/>
  <c r="V105" i="1" s="1"/>
  <c r="W105" i="1" s="1"/>
  <c r="X105" i="1" s="1"/>
  <c r="Y105" i="1" s="1"/>
  <c r="Z105" i="1" s="1"/>
  <c r="AA105" i="1" s="1"/>
  <c r="AB105" i="1" s="1"/>
  <c r="AC105" i="1" s="1"/>
  <c r="AD105" i="1" s="1"/>
  <c r="AE105" i="1" s="1"/>
  <c r="AF105" i="1" s="1"/>
  <c r="AG105" i="1" s="1"/>
  <c r="AH105" i="1" s="1"/>
  <c r="AI105" i="1" s="1"/>
  <c r="AJ105" i="1" s="1"/>
  <c r="AK105" i="1" s="1"/>
  <c r="AL105" i="1" s="1"/>
  <c r="AM105" i="1" s="1"/>
  <c r="AN105" i="1" s="1"/>
  <c r="AO105" i="1" s="1"/>
  <c r="AP105" i="1" s="1"/>
  <c r="G17" i="36" l="1"/>
  <c r="O32" i="32"/>
  <c r="P23" i="32"/>
  <c r="C5" i="52"/>
  <c r="R31" i="36"/>
  <c r="G47" i="36"/>
  <c r="D17" i="31"/>
  <c r="C17" i="31" s="1"/>
  <c r="D5" i="6"/>
  <c r="K47" i="36"/>
  <c r="I7" i="36"/>
  <c r="I33" i="36" s="1"/>
  <c r="Z17" i="36"/>
  <c r="Q7" i="36"/>
  <c r="Q33" i="36" s="1"/>
  <c r="Q34" i="36" s="1"/>
  <c r="AJ21" i="42"/>
  <c r="AG31" i="36"/>
  <c r="AG47" i="36"/>
  <c r="AG17" i="36"/>
  <c r="AA31" i="36"/>
  <c r="AG20" i="34"/>
  <c r="AG12" i="34"/>
  <c r="AE16" i="42"/>
  <c r="AE4" i="42" s="1"/>
  <c r="AB5" i="10" s="1"/>
  <c r="AH41" i="42"/>
  <c r="AG43" i="42"/>
  <c r="AG22" i="42" s="1"/>
  <c r="AG40" i="42"/>
  <c r="AG19" i="42" s="1"/>
  <c r="AF37" i="42"/>
  <c r="AF6" i="42" s="1"/>
  <c r="V31" i="36"/>
  <c r="M17" i="36"/>
  <c r="V17" i="36"/>
  <c r="AA47" i="36"/>
  <c r="K17" i="36"/>
  <c r="Q47" i="36"/>
  <c r="Q17" i="36"/>
  <c r="M31" i="36"/>
  <c r="N31" i="36"/>
  <c r="I31" i="36"/>
  <c r="N17" i="36"/>
  <c r="AC7" i="36"/>
  <c r="AC33" i="36" s="1"/>
  <c r="AC34" i="36" s="1"/>
  <c r="U7" i="36"/>
  <c r="U33" i="36" s="1"/>
  <c r="U34" i="36" s="1"/>
  <c r="J7" i="36"/>
  <c r="J33" i="36" s="1"/>
  <c r="O20" i="34"/>
  <c r="M7" i="36"/>
  <c r="M33" i="36" s="1"/>
  <c r="M34" i="36" s="1"/>
  <c r="R7" i="36"/>
  <c r="R33" i="36" s="1"/>
  <c r="R34" i="36" s="1"/>
  <c r="Z7" i="36"/>
  <c r="Z33" i="36" s="1"/>
  <c r="Z34" i="36" s="1"/>
  <c r="E7" i="36"/>
  <c r="E33" i="36" s="1"/>
  <c r="N7" i="36"/>
  <c r="N33" i="36" s="1"/>
  <c r="N34" i="36" s="1"/>
  <c r="I20" i="34"/>
  <c r="AD7" i="36"/>
  <c r="AD33" i="36" s="1"/>
  <c r="AD34" i="36" s="1"/>
  <c r="E20" i="34"/>
  <c r="F7" i="36"/>
  <c r="J36" i="36"/>
  <c r="J38" i="36" s="1"/>
  <c r="E36" i="36"/>
  <c r="AD31" i="36"/>
  <c r="AC17" i="36"/>
  <c r="E13" i="31"/>
  <c r="E14" i="31" s="1"/>
  <c r="E18" i="31" s="1"/>
  <c r="E16" i="31"/>
  <c r="E19" i="7" s="1"/>
  <c r="G13" i="31"/>
  <c r="G14" i="31" s="1"/>
  <c r="G16" i="31"/>
  <c r="G19" i="7" s="1"/>
  <c r="AC31" i="36"/>
  <c r="I13" i="31"/>
  <c r="I14" i="31" s="1"/>
  <c r="I16" i="31"/>
  <c r="I19" i="7" s="1"/>
  <c r="I22" i="7" s="1"/>
  <c r="I18" i="6" s="1"/>
  <c r="J16" i="31"/>
  <c r="J19" i="7" s="1"/>
  <c r="J22" i="7" s="1"/>
  <c r="J18" i="6" s="1"/>
  <c r="J13" i="31"/>
  <c r="J14" i="31" s="1"/>
  <c r="H13" i="31"/>
  <c r="H14" i="31" s="1"/>
  <c r="H16" i="31"/>
  <c r="H19" i="7" s="1"/>
  <c r="F16" i="31"/>
  <c r="F19" i="7" s="1"/>
  <c r="F13" i="31"/>
  <c r="F14" i="31" s="1"/>
  <c r="I24" i="2"/>
  <c r="I29" i="2" s="1"/>
  <c r="I5" i="19" s="1"/>
  <c r="C29" i="31"/>
  <c r="F17" i="36"/>
  <c r="F31" i="36"/>
  <c r="Q20" i="34"/>
  <c r="R17" i="36"/>
  <c r="J31" i="36"/>
  <c r="Y17" i="36"/>
  <c r="AA20" i="34"/>
  <c r="J17" i="36"/>
  <c r="AD17" i="36"/>
  <c r="G20" i="34"/>
  <c r="C24" i="31"/>
  <c r="AC20" i="34"/>
  <c r="Y47" i="36"/>
  <c r="AE31" i="36"/>
  <c r="W12" i="34"/>
  <c r="W20" i="34"/>
  <c r="Y20" i="34"/>
  <c r="S31" i="36"/>
  <c r="AE17" i="36"/>
  <c r="AE20" i="34"/>
  <c r="U20" i="34"/>
  <c r="U17" i="36"/>
  <c r="S47" i="36"/>
  <c r="U31" i="36"/>
  <c r="I17" i="36"/>
  <c r="K20" i="34"/>
  <c r="M20" i="34"/>
  <c r="D21" i="36"/>
  <c r="D23" i="36" s="1"/>
  <c r="D7" i="36"/>
  <c r="D25" i="32" s="1"/>
  <c r="W47" i="36"/>
  <c r="O47" i="36"/>
  <c r="AE21" i="36"/>
  <c r="AE23" i="36" s="1"/>
  <c r="AE7" i="36"/>
  <c r="AE33" i="36" s="1"/>
  <c r="AE34" i="36" s="1"/>
  <c r="K21" i="36"/>
  <c r="K23" i="36" s="1"/>
  <c r="K7" i="36"/>
  <c r="K33" i="36" s="1"/>
  <c r="T21" i="36"/>
  <c r="T23" i="36" s="1"/>
  <c r="T7" i="36"/>
  <c r="T33" i="36" s="1"/>
  <c r="T34" i="36" s="1"/>
  <c r="L21" i="36"/>
  <c r="L23" i="36" s="1"/>
  <c r="L7" i="36"/>
  <c r="L33" i="36" s="1"/>
  <c r="L34" i="36" s="1"/>
  <c r="J16" i="2"/>
  <c r="J17" i="2" s="1"/>
  <c r="J13" i="2"/>
  <c r="J14" i="2" s="1"/>
  <c r="I16" i="2"/>
  <c r="I17" i="2" s="1"/>
  <c r="I13" i="2"/>
  <c r="I14" i="2" s="1"/>
  <c r="J51" i="36"/>
  <c r="J54" i="36" s="1"/>
  <c r="S21" i="36"/>
  <c r="S23" i="36" s="1"/>
  <c r="S7" i="36"/>
  <c r="S33" i="36" s="1"/>
  <c r="S34" i="36" s="1"/>
  <c r="E17" i="36"/>
  <c r="O21" i="36"/>
  <c r="O23" i="36" s="1"/>
  <c r="O7" i="36"/>
  <c r="O33" i="36" s="1"/>
  <c r="O34" i="36" s="1"/>
  <c r="S12" i="34"/>
  <c r="S20" i="34"/>
  <c r="I51" i="36"/>
  <c r="I54" i="36" s="1"/>
  <c r="J32" i="36"/>
  <c r="J48" i="36"/>
  <c r="J50" i="36" s="1"/>
  <c r="W21" i="36"/>
  <c r="W23" i="36" s="1"/>
  <c r="W7" i="36"/>
  <c r="W33" i="36" s="1"/>
  <c r="W34" i="36" s="1"/>
  <c r="O17" i="36"/>
  <c r="E31" i="36"/>
  <c r="W31" i="36"/>
  <c r="N54" i="36"/>
  <c r="N55" i="36" s="1"/>
  <c r="G21" i="36"/>
  <c r="G23" i="36" s="1"/>
  <c r="G7" i="36"/>
  <c r="G33" i="36" s="1"/>
  <c r="I32" i="36"/>
  <c r="I48" i="36"/>
  <c r="I50" i="36" s="1"/>
  <c r="K16" i="2"/>
  <c r="K17" i="2" s="1"/>
  <c r="K13" i="2"/>
  <c r="K14" i="2" s="1"/>
  <c r="H36" i="36"/>
  <c r="K51" i="36"/>
  <c r="K54" i="36" s="1"/>
  <c r="K32" i="36"/>
  <c r="K48" i="36"/>
  <c r="K50" i="36" s="1"/>
  <c r="AA21" i="36"/>
  <c r="AA23" i="36" s="1"/>
  <c r="AA7" i="36"/>
  <c r="AA33" i="36" s="1"/>
  <c r="AA34" i="36" s="1"/>
  <c r="AB21" i="36"/>
  <c r="AB23" i="36" s="1"/>
  <c r="AB7" i="36"/>
  <c r="AB33" i="36" s="1"/>
  <c r="AB34" i="36" s="1"/>
  <c r="C23" i="34"/>
  <c r="C5" i="35" s="1"/>
  <c r="AF47" i="36"/>
  <c r="AF31" i="36"/>
  <c r="AF17" i="36"/>
  <c r="P47" i="36"/>
  <c r="P31" i="36"/>
  <c r="P17" i="36"/>
  <c r="AB47" i="36"/>
  <c r="AB31" i="36"/>
  <c r="AB17" i="36"/>
  <c r="L47" i="36"/>
  <c r="L31" i="36"/>
  <c r="L17" i="36"/>
  <c r="X47" i="36"/>
  <c r="X31" i="36"/>
  <c r="X17" i="36"/>
  <c r="H47" i="36"/>
  <c r="H31" i="36"/>
  <c r="H17" i="36"/>
  <c r="T47" i="36"/>
  <c r="T31" i="36"/>
  <c r="T17" i="36"/>
  <c r="H12" i="34"/>
  <c r="H20" i="34"/>
  <c r="Z20" i="34"/>
  <c r="Z12" i="34"/>
  <c r="V20" i="34"/>
  <c r="V12" i="34"/>
  <c r="F20" i="34"/>
  <c r="F12" i="34"/>
  <c r="J20" i="34"/>
  <c r="J12" i="34"/>
  <c r="P12" i="34"/>
  <c r="P20" i="34"/>
  <c r="R20" i="34"/>
  <c r="R12" i="34"/>
  <c r="X12" i="34"/>
  <c r="X20" i="34"/>
  <c r="T12" i="34"/>
  <c r="T20" i="34"/>
  <c r="AB12" i="34"/>
  <c r="AB20" i="34"/>
  <c r="L12" i="34"/>
  <c r="L20" i="34"/>
  <c r="AD20" i="34"/>
  <c r="AD12" i="34"/>
  <c r="N20" i="34"/>
  <c r="N12" i="34"/>
  <c r="D12" i="31"/>
  <c r="C10" i="31"/>
  <c r="C3" i="7" s="1"/>
  <c r="D83" i="1"/>
  <c r="E83" i="1" s="1"/>
  <c r="J18" i="31" l="1"/>
  <c r="F18" i="31"/>
  <c r="G18" i="31"/>
  <c r="Q23" i="32"/>
  <c r="P32" i="32"/>
  <c r="I18" i="31"/>
  <c r="F83" i="1"/>
  <c r="D12" i="49"/>
  <c r="I34" i="36"/>
  <c r="H18" i="31"/>
  <c r="AH20" i="42"/>
  <c r="AI41" i="42"/>
  <c r="F33" i="36"/>
  <c r="AF16" i="42"/>
  <c r="AF4" i="42" s="1"/>
  <c r="AC5" i="10" s="1"/>
  <c r="AG37" i="42"/>
  <c r="AG6" i="42" s="1"/>
  <c r="AH40" i="42"/>
  <c r="AH43" i="42"/>
  <c r="J34" i="36"/>
  <c r="J39" i="36" s="1"/>
  <c r="AD36" i="36"/>
  <c r="AD38" i="36" s="1"/>
  <c r="AD39" i="36" s="1"/>
  <c r="I36" i="36"/>
  <c r="I38" i="36" s="1"/>
  <c r="I39" i="36" s="1"/>
  <c r="Z9" i="36"/>
  <c r="N9" i="36"/>
  <c r="Q9" i="36"/>
  <c r="AC36" i="36"/>
  <c r="AC38" i="36" s="1"/>
  <c r="AC39" i="36" s="1"/>
  <c r="V9" i="36"/>
  <c r="J9" i="36"/>
  <c r="R36" i="36"/>
  <c r="R38" i="36" s="1"/>
  <c r="R39" i="36" s="1"/>
  <c r="F36" i="36"/>
  <c r="D13" i="31"/>
  <c r="C13" i="31" s="1"/>
  <c r="D16" i="31"/>
  <c r="I18" i="2"/>
  <c r="I55" i="36"/>
  <c r="S36" i="36"/>
  <c r="S38" i="36" s="1"/>
  <c r="S39" i="36" s="1"/>
  <c r="S9" i="36"/>
  <c r="L36" i="36"/>
  <c r="L38" i="36" s="1"/>
  <c r="L39" i="36" s="1"/>
  <c r="L9" i="36"/>
  <c r="X9" i="36"/>
  <c r="X36" i="36"/>
  <c r="X38" i="36" s="1"/>
  <c r="X39" i="36" s="1"/>
  <c r="AB36" i="36"/>
  <c r="AB38" i="36" s="1"/>
  <c r="AB39" i="36" s="1"/>
  <c r="AB9" i="36"/>
  <c r="K55" i="36"/>
  <c r="Y9" i="36"/>
  <c r="Y36" i="36"/>
  <c r="Y38" i="36" s="1"/>
  <c r="Y39" i="36" s="1"/>
  <c r="P9" i="36"/>
  <c r="P36" i="36"/>
  <c r="P38" i="36" s="1"/>
  <c r="P39" i="36" s="1"/>
  <c r="U36" i="36"/>
  <c r="U38" i="36" s="1"/>
  <c r="U39" i="36" s="1"/>
  <c r="U9" i="36"/>
  <c r="G36" i="36"/>
  <c r="K34" i="36"/>
  <c r="C52" i="36"/>
  <c r="AF9" i="36"/>
  <c r="AF36" i="36"/>
  <c r="AF38" i="36" s="1"/>
  <c r="AF39" i="36" s="1"/>
  <c r="T9" i="36"/>
  <c r="T36" i="36"/>
  <c r="T38" i="36" s="1"/>
  <c r="T39" i="36" s="1"/>
  <c r="D33" i="36"/>
  <c r="C7" i="36"/>
  <c r="D5" i="35" s="1"/>
  <c r="J55" i="36"/>
  <c r="C21" i="36"/>
  <c r="C12" i="31"/>
  <c r="C11" i="1"/>
  <c r="R23" i="32" l="1"/>
  <c r="R32" i="32" s="1"/>
  <c r="Q32" i="32"/>
  <c r="C33" i="36"/>
  <c r="E34" i="32"/>
  <c r="F34" i="32" s="1"/>
  <c r="C16" i="31"/>
  <c r="D19" i="7"/>
  <c r="G83" i="1"/>
  <c r="E12" i="49"/>
  <c r="AH22" i="42"/>
  <c r="AI43" i="42"/>
  <c r="AH19" i="42"/>
  <c r="AI40" i="42"/>
  <c r="AJ41" i="42"/>
  <c r="AI20" i="42"/>
  <c r="AG16" i="42"/>
  <c r="AG4" i="42" s="1"/>
  <c r="AD5" i="10" s="1"/>
  <c r="AH37" i="42"/>
  <c r="AH6" i="42" s="1"/>
  <c r="AD9" i="36"/>
  <c r="Q36" i="36"/>
  <c r="Q38" i="36" s="1"/>
  <c r="Q39" i="36" s="1"/>
  <c r="I9" i="36"/>
  <c r="Z36" i="36"/>
  <c r="Z38" i="36" s="1"/>
  <c r="Z39" i="36" s="1"/>
  <c r="N36" i="36"/>
  <c r="N38" i="36" s="1"/>
  <c r="N39" i="36" s="1"/>
  <c r="V36" i="36"/>
  <c r="V38" i="36" s="1"/>
  <c r="V39" i="36" s="1"/>
  <c r="AC9" i="36"/>
  <c r="M36" i="36"/>
  <c r="M38" i="36" s="1"/>
  <c r="M39" i="36" s="1"/>
  <c r="M9" i="36"/>
  <c r="R9" i="36"/>
  <c r="C6" i="19"/>
  <c r="E25" i="32"/>
  <c r="D14" i="31"/>
  <c r="C14" i="31" s="1"/>
  <c r="O36" i="36"/>
  <c r="O38" i="36" s="1"/>
  <c r="O39" i="36" s="1"/>
  <c r="O9" i="36"/>
  <c r="AE36" i="36"/>
  <c r="AE38" i="36" s="1"/>
  <c r="AE39" i="36" s="1"/>
  <c r="AE9" i="36"/>
  <c r="D36" i="36"/>
  <c r="C6" i="36"/>
  <c r="D6" i="35" s="1"/>
  <c r="C19" i="36"/>
  <c r="W36" i="36"/>
  <c r="W38" i="36" s="1"/>
  <c r="W39" i="36" s="1"/>
  <c r="W9" i="36"/>
  <c r="K36" i="36"/>
  <c r="K38" i="36" s="1"/>
  <c r="K39" i="36" s="1"/>
  <c r="K9" i="36"/>
  <c r="AA36" i="36"/>
  <c r="AA38" i="36" s="1"/>
  <c r="AA39" i="36" s="1"/>
  <c r="AA9" i="36"/>
  <c r="D18" i="31" l="1"/>
  <c r="C18" i="31" s="1"/>
  <c r="H83" i="1"/>
  <c r="F12" i="49"/>
  <c r="AJ20" i="42"/>
  <c r="AI37" i="42"/>
  <c r="AI6" i="42" s="1"/>
  <c r="AJ40" i="42"/>
  <c r="AI19" i="42"/>
  <c r="AJ43" i="42"/>
  <c r="AI22" i="42"/>
  <c r="AH16" i="42"/>
  <c r="AH4" i="42" s="1"/>
  <c r="AE5" i="10" s="1"/>
  <c r="D26" i="32"/>
  <c r="E24" i="32"/>
  <c r="F24" i="32" s="1"/>
  <c r="G24" i="32" s="1"/>
  <c r="H24" i="32" s="1"/>
  <c r="I24" i="32" s="1"/>
  <c r="F25" i="32"/>
  <c r="G34" i="32"/>
  <c r="C36" i="36"/>
  <c r="D27" i="2"/>
  <c r="C8" i="2"/>
  <c r="H10" i="32" s="1"/>
  <c r="J24" i="32" l="1"/>
  <c r="AI16" i="42"/>
  <c r="AI4" i="42" s="1"/>
  <c r="AF5" i="10" s="1"/>
  <c r="I83" i="1"/>
  <c r="G12" i="49"/>
  <c r="AJ22" i="42"/>
  <c r="AJ37" i="42"/>
  <c r="AJ6" i="42" s="1"/>
  <c r="AJ19" i="42"/>
  <c r="E26" i="32"/>
  <c r="G25" i="32"/>
  <c r="F26" i="32"/>
  <c r="H34" i="32"/>
  <c r="I34" i="32" s="1"/>
  <c r="C27" i="2"/>
  <c r="AJ16" i="42" l="1"/>
  <c r="AJ4" i="42" s="1"/>
  <c r="J34" i="32"/>
  <c r="K24" i="32"/>
  <c r="J83" i="1"/>
  <c r="H12" i="49"/>
  <c r="AG5" i="10"/>
  <c r="H25" i="32"/>
  <c r="I25" i="32" s="1"/>
  <c r="G26" i="32"/>
  <c r="F5" i="9"/>
  <c r="F6" i="9"/>
  <c r="D26" i="2"/>
  <c r="E26" i="2"/>
  <c r="F26" i="2"/>
  <c r="E25" i="2"/>
  <c r="F25" i="2"/>
  <c r="J25" i="32" l="1"/>
  <c r="I26" i="32"/>
  <c r="L24" i="32"/>
  <c r="K34" i="32"/>
  <c r="K83" i="1"/>
  <c r="I12" i="49"/>
  <c r="AG8" i="10"/>
  <c r="AG7" i="10"/>
  <c r="AG6" i="10"/>
  <c r="H26" i="32"/>
  <c r="G6" i="9"/>
  <c r="F24" i="2"/>
  <c r="F29" i="2" s="1"/>
  <c r="F5" i="19" s="1"/>
  <c r="E24" i="2"/>
  <c r="E29" i="2" s="1"/>
  <c r="E5" i="19" s="1"/>
  <c r="C144" i="1"/>
  <c r="C143" i="1"/>
  <c r="C142" i="1"/>
  <c r="C141" i="1"/>
  <c r="C140" i="1"/>
  <c r="C139" i="1"/>
  <c r="C269" i="1"/>
  <c r="D269" i="1" s="1"/>
  <c r="E269" i="1" s="1"/>
  <c r="F269" i="1" s="1"/>
  <c r="G269" i="1" s="1"/>
  <c r="H269" i="1" s="1"/>
  <c r="I269" i="1" s="1"/>
  <c r="J269" i="1" s="1"/>
  <c r="K269" i="1" s="1"/>
  <c r="L269" i="1" s="1"/>
  <c r="M269" i="1" s="1"/>
  <c r="N269" i="1" s="1"/>
  <c r="O269" i="1" s="1"/>
  <c r="P269" i="1" s="1"/>
  <c r="Q269" i="1" s="1"/>
  <c r="R269" i="1" s="1"/>
  <c r="S269" i="1" s="1"/>
  <c r="T269" i="1" s="1"/>
  <c r="U269" i="1" s="1"/>
  <c r="V269" i="1" s="1"/>
  <c r="W269" i="1" s="1"/>
  <c r="X269" i="1" s="1"/>
  <c r="Y269" i="1" s="1"/>
  <c r="Z269" i="1" s="1"/>
  <c r="AA269" i="1" s="1"/>
  <c r="AB269" i="1" s="1"/>
  <c r="AC269" i="1" s="1"/>
  <c r="AD269" i="1" s="1"/>
  <c r="AE269" i="1" s="1"/>
  <c r="AF269" i="1" s="1"/>
  <c r="AG269" i="1" s="1"/>
  <c r="AH269" i="1" s="1"/>
  <c r="AI269" i="1" s="1"/>
  <c r="AJ269" i="1" s="1"/>
  <c r="AK269" i="1" s="1"/>
  <c r="AL269" i="1" s="1"/>
  <c r="AM269" i="1" s="1"/>
  <c r="AN269" i="1" s="1"/>
  <c r="AO269" i="1" s="1"/>
  <c r="AP269" i="1" s="1"/>
  <c r="C268" i="1"/>
  <c r="D268" i="1" s="1"/>
  <c r="E268" i="1" s="1"/>
  <c r="F268" i="1" s="1"/>
  <c r="G268" i="1" s="1"/>
  <c r="H268" i="1" s="1"/>
  <c r="I268" i="1" s="1"/>
  <c r="J268" i="1" s="1"/>
  <c r="K268" i="1" s="1"/>
  <c r="L268" i="1" s="1"/>
  <c r="M268" i="1" s="1"/>
  <c r="N268" i="1" s="1"/>
  <c r="O268" i="1" s="1"/>
  <c r="P268" i="1" s="1"/>
  <c r="Q268" i="1" s="1"/>
  <c r="R268" i="1" s="1"/>
  <c r="S268" i="1" s="1"/>
  <c r="T268" i="1" s="1"/>
  <c r="U268" i="1" s="1"/>
  <c r="V268" i="1" s="1"/>
  <c r="W268" i="1" s="1"/>
  <c r="X268" i="1" s="1"/>
  <c r="Y268" i="1" s="1"/>
  <c r="Z268" i="1" s="1"/>
  <c r="AA268" i="1" s="1"/>
  <c r="AB268" i="1" s="1"/>
  <c r="AC268" i="1" s="1"/>
  <c r="AD268" i="1" s="1"/>
  <c r="AE268" i="1" s="1"/>
  <c r="AF268" i="1" s="1"/>
  <c r="AG268" i="1" s="1"/>
  <c r="AH268" i="1" s="1"/>
  <c r="AI268" i="1" s="1"/>
  <c r="AJ268" i="1" s="1"/>
  <c r="AK268" i="1" s="1"/>
  <c r="AL268" i="1" s="1"/>
  <c r="AM268" i="1" s="1"/>
  <c r="AN268" i="1" s="1"/>
  <c r="AO268" i="1" s="1"/>
  <c r="AP268" i="1" s="1"/>
  <c r="C267" i="1"/>
  <c r="D267" i="1" s="1"/>
  <c r="E267" i="1" s="1"/>
  <c r="F267" i="1" s="1"/>
  <c r="G267" i="1" s="1"/>
  <c r="H267" i="1" s="1"/>
  <c r="I267" i="1" s="1"/>
  <c r="J267" i="1" s="1"/>
  <c r="K267" i="1" s="1"/>
  <c r="L267" i="1" s="1"/>
  <c r="M267" i="1" s="1"/>
  <c r="N267" i="1" s="1"/>
  <c r="O267" i="1" s="1"/>
  <c r="P267" i="1" s="1"/>
  <c r="Q267" i="1" s="1"/>
  <c r="R267" i="1" s="1"/>
  <c r="S267" i="1" s="1"/>
  <c r="T267" i="1" s="1"/>
  <c r="U267" i="1" s="1"/>
  <c r="V267" i="1" s="1"/>
  <c r="W267" i="1" s="1"/>
  <c r="X267" i="1" s="1"/>
  <c r="Y267" i="1" s="1"/>
  <c r="Z267" i="1" s="1"/>
  <c r="AA267" i="1" s="1"/>
  <c r="AB267" i="1" s="1"/>
  <c r="AC267" i="1" s="1"/>
  <c r="AD267" i="1" s="1"/>
  <c r="AE267" i="1" s="1"/>
  <c r="AF267" i="1" s="1"/>
  <c r="AG267" i="1" s="1"/>
  <c r="AH267" i="1" s="1"/>
  <c r="AI267" i="1" s="1"/>
  <c r="AJ267" i="1" s="1"/>
  <c r="AK267" i="1" s="1"/>
  <c r="AL267" i="1" s="1"/>
  <c r="AM267" i="1" s="1"/>
  <c r="AN267" i="1" s="1"/>
  <c r="AO267" i="1" s="1"/>
  <c r="AP267" i="1" s="1"/>
  <c r="C266" i="1"/>
  <c r="D266" i="1" s="1"/>
  <c r="E266" i="1" s="1"/>
  <c r="F266" i="1" s="1"/>
  <c r="G266" i="1" s="1"/>
  <c r="H266" i="1" s="1"/>
  <c r="I266" i="1" s="1"/>
  <c r="J266" i="1" s="1"/>
  <c r="K266" i="1" s="1"/>
  <c r="L266" i="1" s="1"/>
  <c r="M266" i="1" s="1"/>
  <c r="N266" i="1" s="1"/>
  <c r="O266" i="1" s="1"/>
  <c r="P266" i="1" s="1"/>
  <c r="Q266" i="1" s="1"/>
  <c r="R266" i="1" s="1"/>
  <c r="S266" i="1" s="1"/>
  <c r="T266" i="1" s="1"/>
  <c r="U266" i="1" s="1"/>
  <c r="V266" i="1" s="1"/>
  <c r="W266" i="1" s="1"/>
  <c r="X266" i="1" s="1"/>
  <c r="Y266" i="1" s="1"/>
  <c r="Z266" i="1" s="1"/>
  <c r="AA266" i="1" s="1"/>
  <c r="AB266" i="1" s="1"/>
  <c r="AC266" i="1" s="1"/>
  <c r="AD266" i="1" s="1"/>
  <c r="AE266" i="1" s="1"/>
  <c r="AF266" i="1" s="1"/>
  <c r="AG266" i="1" s="1"/>
  <c r="AH266" i="1" s="1"/>
  <c r="AI266" i="1" s="1"/>
  <c r="AJ266" i="1" s="1"/>
  <c r="AK266" i="1" s="1"/>
  <c r="AL266" i="1" s="1"/>
  <c r="AM266" i="1" s="1"/>
  <c r="AN266" i="1" s="1"/>
  <c r="AO266" i="1" s="1"/>
  <c r="AP266" i="1" s="1"/>
  <c r="C265" i="1"/>
  <c r="D265" i="1" s="1"/>
  <c r="E265" i="1" s="1"/>
  <c r="F265" i="1" s="1"/>
  <c r="G265" i="1" s="1"/>
  <c r="H265" i="1" s="1"/>
  <c r="I265" i="1" s="1"/>
  <c r="J265" i="1" s="1"/>
  <c r="K265" i="1" s="1"/>
  <c r="L265" i="1" s="1"/>
  <c r="M265" i="1" s="1"/>
  <c r="N265" i="1" s="1"/>
  <c r="O265" i="1" s="1"/>
  <c r="P265" i="1" s="1"/>
  <c r="Q265" i="1" s="1"/>
  <c r="R265" i="1" s="1"/>
  <c r="S265" i="1" s="1"/>
  <c r="T265" i="1" s="1"/>
  <c r="U265" i="1" s="1"/>
  <c r="V265" i="1" s="1"/>
  <c r="W265" i="1" s="1"/>
  <c r="X265" i="1" s="1"/>
  <c r="Y265" i="1" s="1"/>
  <c r="Z265" i="1" s="1"/>
  <c r="AA265" i="1" s="1"/>
  <c r="AB265" i="1" s="1"/>
  <c r="AC265" i="1" s="1"/>
  <c r="AD265" i="1" s="1"/>
  <c r="AE265" i="1" s="1"/>
  <c r="AF265" i="1" s="1"/>
  <c r="AG265" i="1" s="1"/>
  <c r="AH265" i="1" s="1"/>
  <c r="AI265" i="1" s="1"/>
  <c r="AJ265" i="1" s="1"/>
  <c r="AK265" i="1" s="1"/>
  <c r="AL265" i="1" s="1"/>
  <c r="AM265" i="1" s="1"/>
  <c r="AN265" i="1" s="1"/>
  <c r="AO265" i="1" s="1"/>
  <c r="AP265" i="1" s="1"/>
  <c r="C264" i="1"/>
  <c r="D264" i="1" s="1"/>
  <c r="E264" i="1" s="1"/>
  <c r="F264" i="1" s="1"/>
  <c r="G264" i="1" s="1"/>
  <c r="H264" i="1" s="1"/>
  <c r="I264" i="1" s="1"/>
  <c r="J264" i="1" s="1"/>
  <c r="K264" i="1" s="1"/>
  <c r="L264" i="1" s="1"/>
  <c r="M264" i="1" s="1"/>
  <c r="N264" i="1" s="1"/>
  <c r="O264" i="1" s="1"/>
  <c r="P264" i="1" s="1"/>
  <c r="Q264" i="1" s="1"/>
  <c r="R264" i="1" s="1"/>
  <c r="S264" i="1" s="1"/>
  <c r="T264" i="1" s="1"/>
  <c r="U264" i="1" s="1"/>
  <c r="V264" i="1" s="1"/>
  <c r="W264" i="1" s="1"/>
  <c r="X264" i="1" s="1"/>
  <c r="Y264" i="1" s="1"/>
  <c r="Z264" i="1" s="1"/>
  <c r="AA264" i="1" s="1"/>
  <c r="AB264" i="1" s="1"/>
  <c r="AC264" i="1" s="1"/>
  <c r="AD264" i="1" s="1"/>
  <c r="AE264" i="1" s="1"/>
  <c r="AF264" i="1" s="1"/>
  <c r="AG264" i="1" s="1"/>
  <c r="AH264" i="1" s="1"/>
  <c r="AI264" i="1" s="1"/>
  <c r="AJ264" i="1" s="1"/>
  <c r="AK264" i="1" s="1"/>
  <c r="AL264" i="1" s="1"/>
  <c r="AM264" i="1" s="1"/>
  <c r="AN264" i="1" s="1"/>
  <c r="AO264" i="1" s="1"/>
  <c r="AP264" i="1" s="1"/>
  <c r="C263" i="1"/>
  <c r="D263" i="1" s="1"/>
  <c r="E263" i="1" s="1"/>
  <c r="F263" i="1" s="1"/>
  <c r="G263" i="1" s="1"/>
  <c r="H263" i="1" s="1"/>
  <c r="I263" i="1" s="1"/>
  <c r="J263" i="1" s="1"/>
  <c r="K263" i="1" s="1"/>
  <c r="L263" i="1" s="1"/>
  <c r="M263" i="1" s="1"/>
  <c r="N263" i="1" s="1"/>
  <c r="O263" i="1" s="1"/>
  <c r="P263" i="1" s="1"/>
  <c r="Q263" i="1" s="1"/>
  <c r="R263" i="1" s="1"/>
  <c r="S263" i="1" s="1"/>
  <c r="T263" i="1" s="1"/>
  <c r="U263" i="1" s="1"/>
  <c r="V263" i="1" s="1"/>
  <c r="W263" i="1" s="1"/>
  <c r="X263" i="1" s="1"/>
  <c r="Y263" i="1" s="1"/>
  <c r="Z263" i="1" s="1"/>
  <c r="AA263" i="1" s="1"/>
  <c r="AB263" i="1" s="1"/>
  <c r="AC263" i="1" s="1"/>
  <c r="AD263" i="1" s="1"/>
  <c r="AE263" i="1" s="1"/>
  <c r="AF263" i="1" s="1"/>
  <c r="AG263" i="1" s="1"/>
  <c r="AH263" i="1" s="1"/>
  <c r="AI263" i="1" s="1"/>
  <c r="AJ263" i="1" s="1"/>
  <c r="AK263" i="1" s="1"/>
  <c r="AL263" i="1" s="1"/>
  <c r="AM263" i="1" s="1"/>
  <c r="AN263" i="1" s="1"/>
  <c r="AO263" i="1" s="1"/>
  <c r="AP263" i="1" s="1"/>
  <c r="C262" i="1"/>
  <c r="D262" i="1" s="1"/>
  <c r="E262" i="1" s="1"/>
  <c r="F262" i="1" s="1"/>
  <c r="G262" i="1" s="1"/>
  <c r="H262" i="1" s="1"/>
  <c r="I262" i="1" s="1"/>
  <c r="J262" i="1" s="1"/>
  <c r="K262" i="1" s="1"/>
  <c r="L262" i="1" s="1"/>
  <c r="M262" i="1" s="1"/>
  <c r="N262" i="1" s="1"/>
  <c r="O262" i="1" s="1"/>
  <c r="P262" i="1" s="1"/>
  <c r="Q262" i="1" s="1"/>
  <c r="R262" i="1" s="1"/>
  <c r="S262" i="1" s="1"/>
  <c r="T262" i="1" s="1"/>
  <c r="U262" i="1" s="1"/>
  <c r="V262" i="1" s="1"/>
  <c r="W262" i="1" s="1"/>
  <c r="X262" i="1" s="1"/>
  <c r="Y262" i="1" s="1"/>
  <c r="Z262" i="1" s="1"/>
  <c r="AA262" i="1" s="1"/>
  <c r="AB262" i="1" s="1"/>
  <c r="AC262" i="1" s="1"/>
  <c r="AD262" i="1" s="1"/>
  <c r="AE262" i="1" s="1"/>
  <c r="AF262" i="1" s="1"/>
  <c r="AG262" i="1" s="1"/>
  <c r="AH262" i="1" s="1"/>
  <c r="AI262" i="1" s="1"/>
  <c r="AJ262" i="1" s="1"/>
  <c r="AK262" i="1" s="1"/>
  <c r="AL262" i="1" s="1"/>
  <c r="AM262" i="1" s="1"/>
  <c r="AN262" i="1" s="1"/>
  <c r="AO262" i="1" s="1"/>
  <c r="AP262" i="1" s="1"/>
  <c r="C261" i="1"/>
  <c r="D261" i="1" s="1"/>
  <c r="E261" i="1" s="1"/>
  <c r="F261" i="1" s="1"/>
  <c r="G261" i="1" s="1"/>
  <c r="H261" i="1" s="1"/>
  <c r="I261" i="1" s="1"/>
  <c r="J261" i="1" s="1"/>
  <c r="K261" i="1" s="1"/>
  <c r="L261" i="1" s="1"/>
  <c r="M261" i="1" s="1"/>
  <c r="N261" i="1" s="1"/>
  <c r="O261" i="1" s="1"/>
  <c r="P261" i="1" s="1"/>
  <c r="Q261" i="1" s="1"/>
  <c r="R261" i="1" s="1"/>
  <c r="S261" i="1" s="1"/>
  <c r="T261" i="1" s="1"/>
  <c r="U261" i="1" s="1"/>
  <c r="V261" i="1" s="1"/>
  <c r="W261" i="1" s="1"/>
  <c r="X261" i="1" s="1"/>
  <c r="Y261" i="1" s="1"/>
  <c r="Z261" i="1" s="1"/>
  <c r="AA261" i="1" s="1"/>
  <c r="AB261" i="1" s="1"/>
  <c r="AC261" i="1" s="1"/>
  <c r="AD261" i="1" s="1"/>
  <c r="AE261" i="1" s="1"/>
  <c r="AF261" i="1" s="1"/>
  <c r="AG261" i="1" s="1"/>
  <c r="AH261" i="1" s="1"/>
  <c r="AI261" i="1" s="1"/>
  <c r="AJ261" i="1" s="1"/>
  <c r="AK261" i="1" s="1"/>
  <c r="AL261" i="1" s="1"/>
  <c r="AM261" i="1" s="1"/>
  <c r="AN261" i="1" s="1"/>
  <c r="AO261" i="1" s="1"/>
  <c r="AP261" i="1" s="1"/>
  <c r="C260" i="1"/>
  <c r="D260" i="1" s="1"/>
  <c r="E260" i="1" s="1"/>
  <c r="F260" i="1" s="1"/>
  <c r="G260" i="1" s="1"/>
  <c r="H260" i="1" s="1"/>
  <c r="I260" i="1" s="1"/>
  <c r="J260" i="1" s="1"/>
  <c r="K260" i="1" s="1"/>
  <c r="L260" i="1" s="1"/>
  <c r="M260" i="1" s="1"/>
  <c r="N260" i="1" s="1"/>
  <c r="O260" i="1" s="1"/>
  <c r="P260" i="1" s="1"/>
  <c r="Q260" i="1" s="1"/>
  <c r="R260" i="1" s="1"/>
  <c r="S260" i="1" s="1"/>
  <c r="T260" i="1" s="1"/>
  <c r="U260" i="1" s="1"/>
  <c r="V260" i="1" s="1"/>
  <c r="W260" i="1" s="1"/>
  <c r="X260" i="1" s="1"/>
  <c r="Y260" i="1" s="1"/>
  <c r="Z260" i="1" s="1"/>
  <c r="AA260" i="1" s="1"/>
  <c r="AB260" i="1" s="1"/>
  <c r="AC260" i="1" s="1"/>
  <c r="AD260" i="1" s="1"/>
  <c r="AE260" i="1" s="1"/>
  <c r="AF260" i="1" s="1"/>
  <c r="AG260" i="1" s="1"/>
  <c r="AH260" i="1" s="1"/>
  <c r="AI260" i="1" s="1"/>
  <c r="AJ260" i="1" s="1"/>
  <c r="AK260" i="1" s="1"/>
  <c r="AL260" i="1" s="1"/>
  <c r="AM260" i="1" s="1"/>
  <c r="AN260" i="1" s="1"/>
  <c r="AO260" i="1" s="1"/>
  <c r="AP260" i="1" s="1"/>
  <c r="C259" i="1"/>
  <c r="D259" i="1" s="1"/>
  <c r="E259" i="1" s="1"/>
  <c r="F259" i="1" s="1"/>
  <c r="G259" i="1" s="1"/>
  <c r="H259" i="1" s="1"/>
  <c r="I259" i="1" s="1"/>
  <c r="J259" i="1" s="1"/>
  <c r="K259" i="1" s="1"/>
  <c r="L259" i="1" s="1"/>
  <c r="M259" i="1" s="1"/>
  <c r="N259" i="1" s="1"/>
  <c r="O259" i="1" s="1"/>
  <c r="P259" i="1" s="1"/>
  <c r="Q259" i="1" s="1"/>
  <c r="R259" i="1" s="1"/>
  <c r="S259" i="1" s="1"/>
  <c r="T259" i="1" s="1"/>
  <c r="U259" i="1" s="1"/>
  <c r="V259" i="1" s="1"/>
  <c r="W259" i="1" s="1"/>
  <c r="X259" i="1" s="1"/>
  <c r="Y259" i="1" s="1"/>
  <c r="Z259" i="1" s="1"/>
  <c r="AA259" i="1" s="1"/>
  <c r="AB259" i="1" s="1"/>
  <c r="AC259" i="1" s="1"/>
  <c r="AD259" i="1" s="1"/>
  <c r="AE259" i="1" s="1"/>
  <c r="AF259" i="1" s="1"/>
  <c r="AG259" i="1" s="1"/>
  <c r="AH259" i="1" s="1"/>
  <c r="AI259" i="1" s="1"/>
  <c r="AJ259" i="1" s="1"/>
  <c r="AK259" i="1" s="1"/>
  <c r="AL259" i="1" s="1"/>
  <c r="AM259" i="1" s="1"/>
  <c r="AN259" i="1" s="1"/>
  <c r="AO259" i="1" s="1"/>
  <c r="AP259" i="1" s="1"/>
  <c r="C258" i="1"/>
  <c r="D258" i="1" s="1"/>
  <c r="E258" i="1" s="1"/>
  <c r="F258" i="1" s="1"/>
  <c r="G258" i="1" s="1"/>
  <c r="H258" i="1" s="1"/>
  <c r="I258" i="1" s="1"/>
  <c r="J258" i="1" s="1"/>
  <c r="K258" i="1" s="1"/>
  <c r="L258" i="1" s="1"/>
  <c r="M258" i="1" s="1"/>
  <c r="N258" i="1" s="1"/>
  <c r="O258" i="1" s="1"/>
  <c r="P258" i="1" s="1"/>
  <c r="Q258" i="1" s="1"/>
  <c r="R258" i="1" s="1"/>
  <c r="S258" i="1" s="1"/>
  <c r="T258" i="1" s="1"/>
  <c r="U258" i="1" s="1"/>
  <c r="V258" i="1" s="1"/>
  <c r="W258" i="1" s="1"/>
  <c r="X258" i="1" s="1"/>
  <c r="Y258" i="1" s="1"/>
  <c r="Z258" i="1" s="1"/>
  <c r="AA258" i="1" s="1"/>
  <c r="AB258" i="1" s="1"/>
  <c r="AC258" i="1" s="1"/>
  <c r="AD258" i="1" s="1"/>
  <c r="AE258" i="1" s="1"/>
  <c r="AF258" i="1" s="1"/>
  <c r="AG258" i="1" s="1"/>
  <c r="AH258" i="1" s="1"/>
  <c r="AI258" i="1" s="1"/>
  <c r="AJ258" i="1" s="1"/>
  <c r="AK258" i="1" s="1"/>
  <c r="AL258" i="1" s="1"/>
  <c r="AM258" i="1" s="1"/>
  <c r="AN258" i="1" s="1"/>
  <c r="AO258" i="1" s="1"/>
  <c r="AP258" i="1" s="1"/>
  <c r="C257" i="1"/>
  <c r="D257" i="1" s="1"/>
  <c r="E257" i="1" s="1"/>
  <c r="F257" i="1" s="1"/>
  <c r="G257" i="1" s="1"/>
  <c r="H257" i="1" s="1"/>
  <c r="I257" i="1" s="1"/>
  <c r="J257" i="1" s="1"/>
  <c r="K257" i="1" s="1"/>
  <c r="L257" i="1" s="1"/>
  <c r="M257" i="1" s="1"/>
  <c r="N257" i="1" s="1"/>
  <c r="O257" i="1" s="1"/>
  <c r="P257" i="1" s="1"/>
  <c r="Q257" i="1" s="1"/>
  <c r="R257" i="1" s="1"/>
  <c r="S257" i="1" s="1"/>
  <c r="T257" i="1" s="1"/>
  <c r="U257" i="1" s="1"/>
  <c r="V257" i="1" s="1"/>
  <c r="W257" i="1" s="1"/>
  <c r="X257" i="1" s="1"/>
  <c r="Y257" i="1" s="1"/>
  <c r="Z257" i="1" s="1"/>
  <c r="AA257" i="1" s="1"/>
  <c r="AB257" i="1" s="1"/>
  <c r="AC257" i="1" s="1"/>
  <c r="AD257" i="1" s="1"/>
  <c r="AE257" i="1" s="1"/>
  <c r="AF257" i="1" s="1"/>
  <c r="AG257" i="1" s="1"/>
  <c r="AH257" i="1" s="1"/>
  <c r="AI257" i="1" s="1"/>
  <c r="AJ257" i="1" s="1"/>
  <c r="AK257" i="1" s="1"/>
  <c r="AL257" i="1" s="1"/>
  <c r="AM257" i="1" s="1"/>
  <c r="AN257" i="1" s="1"/>
  <c r="AO257" i="1" s="1"/>
  <c r="AP257" i="1" s="1"/>
  <c r="C256" i="1"/>
  <c r="D256" i="1" s="1"/>
  <c r="E256" i="1" s="1"/>
  <c r="F256" i="1" s="1"/>
  <c r="G256" i="1" s="1"/>
  <c r="H256" i="1" s="1"/>
  <c r="I256" i="1" s="1"/>
  <c r="J256" i="1" s="1"/>
  <c r="K256" i="1" s="1"/>
  <c r="L256" i="1" s="1"/>
  <c r="M256" i="1" s="1"/>
  <c r="N256" i="1" s="1"/>
  <c r="O256" i="1" s="1"/>
  <c r="P256" i="1" s="1"/>
  <c r="Q256" i="1" s="1"/>
  <c r="R256" i="1" s="1"/>
  <c r="S256" i="1" s="1"/>
  <c r="T256" i="1" s="1"/>
  <c r="U256" i="1" s="1"/>
  <c r="V256" i="1" s="1"/>
  <c r="W256" i="1" s="1"/>
  <c r="X256" i="1" s="1"/>
  <c r="Y256" i="1" s="1"/>
  <c r="Z256" i="1" s="1"/>
  <c r="AA256" i="1" s="1"/>
  <c r="AB256" i="1" s="1"/>
  <c r="AC256" i="1" s="1"/>
  <c r="AD256" i="1" s="1"/>
  <c r="AE256" i="1" s="1"/>
  <c r="AF256" i="1" s="1"/>
  <c r="AG256" i="1" s="1"/>
  <c r="AH256" i="1" s="1"/>
  <c r="AI256" i="1" s="1"/>
  <c r="AJ256" i="1" s="1"/>
  <c r="AK256" i="1" s="1"/>
  <c r="AL256" i="1" s="1"/>
  <c r="AM256" i="1" s="1"/>
  <c r="AN256" i="1" s="1"/>
  <c r="AO256" i="1" s="1"/>
  <c r="AP256" i="1" s="1"/>
  <c r="C255" i="1"/>
  <c r="D255" i="1" s="1"/>
  <c r="E255" i="1" s="1"/>
  <c r="F255" i="1" s="1"/>
  <c r="G255" i="1" s="1"/>
  <c r="H255" i="1" s="1"/>
  <c r="I255" i="1" s="1"/>
  <c r="J255" i="1" s="1"/>
  <c r="K255" i="1" s="1"/>
  <c r="L255" i="1" s="1"/>
  <c r="M255" i="1" s="1"/>
  <c r="N255" i="1" s="1"/>
  <c r="O255" i="1" s="1"/>
  <c r="P255" i="1" s="1"/>
  <c r="Q255" i="1" s="1"/>
  <c r="R255" i="1" s="1"/>
  <c r="S255" i="1" s="1"/>
  <c r="T255" i="1" s="1"/>
  <c r="U255" i="1" s="1"/>
  <c r="V255" i="1" s="1"/>
  <c r="W255" i="1" s="1"/>
  <c r="X255" i="1" s="1"/>
  <c r="Y255" i="1" s="1"/>
  <c r="Z255" i="1" s="1"/>
  <c r="AA255" i="1" s="1"/>
  <c r="AB255" i="1" s="1"/>
  <c r="AC255" i="1" s="1"/>
  <c r="AD255" i="1" s="1"/>
  <c r="AE255" i="1" s="1"/>
  <c r="AF255" i="1" s="1"/>
  <c r="AG255" i="1" s="1"/>
  <c r="AH255" i="1" s="1"/>
  <c r="AI255" i="1" s="1"/>
  <c r="AJ255" i="1" s="1"/>
  <c r="AK255" i="1" s="1"/>
  <c r="AL255" i="1" s="1"/>
  <c r="AM255" i="1" s="1"/>
  <c r="AN255" i="1" s="1"/>
  <c r="AO255" i="1" s="1"/>
  <c r="AP255" i="1" s="1"/>
  <c r="K25" i="32" l="1"/>
  <c r="J26" i="32"/>
  <c r="M24" i="32"/>
  <c r="L34" i="32"/>
  <c r="L83" i="1"/>
  <c r="J12" i="49"/>
  <c r="D4" i="19"/>
  <c r="D4" i="10"/>
  <c r="D4" i="6"/>
  <c r="D4" i="4"/>
  <c r="D4" i="2"/>
  <c r="E4" i="2" s="1"/>
  <c r="L25" i="32" l="1"/>
  <c r="K26" i="32"/>
  <c r="M34" i="32"/>
  <c r="N24" i="32"/>
  <c r="M83" i="1"/>
  <c r="K12" i="49"/>
  <c r="D47" i="6"/>
  <c r="AG4" i="6"/>
  <c r="D20" i="4"/>
  <c r="AG4" i="4"/>
  <c r="AG4" i="10"/>
  <c r="AG4" i="19"/>
  <c r="J4" i="31"/>
  <c r="J23" i="31" s="1"/>
  <c r="K4" i="2"/>
  <c r="D31" i="6"/>
  <c r="M25" i="32" l="1"/>
  <c r="L26" i="32"/>
  <c r="O24" i="32"/>
  <c r="N34" i="32"/>
  <c r="N83" i="1"/>
  <c r="L12" i="49"/>
  <c r="AG31" i="6"/>
  <c r="AG17" i="6"/>
  <c r="AG47" i="6"/>
  <c r="AG12" i="4"/>
  <c r="AG20" i="4"/>
  <c r="D7" i="10"/>
  <c r="D12" i="10" s="1"/>
  <c r="D8" i="10"/>
  <c r="D6" i="10"/>
  <c r="E53" i="6"/>
  <c r="F53" i="6"/>
  <c r="G53" i="6"/>
  <c r="H53" i="6"/>
  <c r="I53" i="6"/>
  <c r="J53" i="6"/>
  <c r="K53" i="6"/>
  <c r="L53" i="6"/>
  <c r="M53" i="6"/>
  <c r="N53" i="6"/>
  <c r="O53" i="6"/>
  <c r="P53" i="6"/>
  <c r="Q53" i="6"/>
  <c r="R53" i="6"/>
  <c r="S53" i="6"/>
  <c r="T53" i="6"/>
  <c r="U53" i="6"/>
  <c r="V53" i="6"/>
  <c r="W53" i="6"/>
  <c r="X53" i="6"/>
  <c r="Y53" i="6"/>
  <c r="Z53" i="6"/>
  <c r="AA53" i="6"/>
  <c r="AB53" i="6"/>
  <c r="AC53" i="6"/>
  <c r="AD53" i="6"/>
  <c r="AE53" i="6"/>
  <c r="AF53" i="6"/>
  <c r="D53" i="6"/>
  <c r="E37" i="6"/>
  <c r="F37" i="6"/>
  <c r="G37" i="6"/>
  <c r="H37" i="6"/>
  <c r="I37" i="6"/>
  <c r="J37" i="6"/>
  <c r="K37" i="6"/>
  <c r="L37" i="6"/>
  <c r="M37" i="6"/>
  <c r="N37" i="6"/>
  <c r="O37" i="6"/>
  <c r="P37" i="6"/>
  <c r="Q37" i="6"/>
  <c r="R37" i="6"/>
  <c r="S37" i="6"/>
  <c r="T37" i="6"/>
  <c r="U37" i="6"/>
  <c r="V37" i="6"/>
  <c r="W37" i="6"/>
  <c r="X37" i="6"/>
  <c r="Y37" i="6"/>
  <c r="Z37" i="6"/>
  <c r="AA37" i="6"/>
  <c r="AB37" i="6"/>
  <c r="AC37" i="6"/>
  <c r="AD37" i="6"/>
  <c r="AE37" i="6"/>
  <c r="AF37" i="6"/>
  <c r="D37" i="6"/>
  <c r="C20" i="7"/>
  <c r="C22" i="6"/>
  <c r="D4" i="7"/>
  <c r="H10" i="2"/>
  <c r="N25" i="32" l="1"/>
  <c r="M26" i="32"/>
  <c r="O34" i="32"/>
  <c r="P24" i="32"/>
  <c r="O83" i="1"/>
  <c r="M12" i="49"/>
  <c r="H18" i="35"/>
  <c r="H12" i="2"/>
  <c r="H5" i="36"/>
  <c r="H35" i="36" s="1"/>
  <c r="H38" i="36" s="1"/>
  <c r="C37" i="6"/>
  <c r="H51" i="6"/>
  <c r="C53" i="6"/>
  <c r="O25" i="32" l="1"/>
  <c r="N26" i="32"/>
  <c r="Q24" i="32"/>
  <c r="P34" i="32"/>
  <c r="P83" i="1"/>
  <c r="N12" i="49"/>
  <c r="H32" i="36"/>
  <c r="H48" i="36"/>
  <c r="H51" i="36"/>
  <c r="H54" i="36" s="1"/>
  <c r="H9" i="36"/>
  <c r="H16" i="2"/>
  <c r="H17" i="2" s="1"/>
  <c r="H13" i="2"/>
  <c r="H14" i="2" s="1"/>
  <c r="H22" i="7" s="1"/>
  <c r="H18" i="6" s="1"/>
  <c r="H35" i="6"/>
  <c r="P25" i="32" l="1"/>
  <c r="O26" i="32"/>
  <c r="Q34" i="32"/>
  <c r="R24" i="32"/>
  <c r="Q83" i="1"/>
  <c r="O12" i="49"/>
  <c r="H18" i="2"/>
  <c r="H32" i="6"/>
  <c r="H34" i="36"/>
  <c r="H39" i="36" s="1"/>
  <c r="H50" i="36"/>
  <c r="H55" i="36" s="1"/>
  <c r="H48" i="6"/>
  <c r="Q25" i="32" l="1"/>
  <c r="P26" i="32"/>
  <c r="C24" i="32"/>
  <c r="R34" i="32"/>
  <c r="R83" i="1"/>
  <c r="P12" i="49"/>
  <c r="D28" i="2"/>
  <c r="D25" i="2"/>
  <c r="D24" i="2" s="1"/>
  <c r="R25" i="32" l="1"/>
  <c r="Q26" i="32"/>
  <c r="C34" i="32"/>
  <c r="S83" i="1"/>
  <c r="Q12" i="49"/>
  <c r="C24" i="2"/>
  <c r="D29" i="2"/>
  <c r="D5" i="19" s="1"/>
  <c r="C5" i="19" s="1"/>
  <c r="C25" i="32" l="1"/>
  <c r="R26" i="32"/>
  <c r="C26" i="32" s="1"/>
  <c r="C16" i="32" s="1"/>
  <c r="T83" i="1"/>
  <c r="R12" i="49"/>
  <c r="C187" i="1"/>
  <c r="U83" i="1" l="1"/>
  <c r="S12" i="49"/>
  <c r="D141" i="1"/>
  <c r="D139" i="1"/>
  <c r="D140" i="1"/>
  <c r="D144" i="1"/>
  <c r="D142" i="1"/>
  <c r="D143" i="1"/>
  <c r="AB135" i="1"/>
  <c r="W135" i="1"/>
  <c r="R135" i="1"/>
  <c r="M135" i="1"/>
  <c r="H135" i="1"/>
  <c r="C135" i="1"/>
  <c r="D231" i="1"/>
  <c r="D230" i="1"/>
  <c r="E230" i="1" s="1"/>
  <c r="F230" i="1" s="1"/>
  <c r="G230" i="1" s="1"/>
  <c r="H230" i="1" s="1"/>
  <c r="I230" i="1" s="1"/>
  <c r="J230" i="1" s="1"/>
  <c r="K230" i="1" s="1"/>
  <c r="L230" i="1" s="1"/>
  <c r="M230" i="1" s="1"/>
  <c r="N230" i="1" s="1"/>
  <c r="O230" i="1" s="1"/>
  <c r="P230" i="1" s="1"/>
  <c r="Q230" i="1" s="1"/>
  <c r="R230" i="1" s="1"/>
  <c r="S230" i="1" s="1"/>
  <c r="T230" i="1" s="1"/>
  <c r="U230" i="1" s="1"/>
  <c r="V230" i="1" s="1"/>
  <c r="W230" i="1" s="1"/>
  <c r="X230" i="1" s="1"/>
  <c r="Y230" i="1" s="1"/>
  <c r="Z230" i="1" s="1"/>
  <c r="AA230" i="1" s="1"/>
  <c r="AB230" i="1" s="1"/>
  <c r="AC230" i="1" s="1"/>
  <c r="AD230" i="1" s="1"/>
  <c r="AE230" i="1" s="1"/>
  <c r="AF230" i="1" s="1"/>
  <c r="AG230" i="1" s="1"/>
  <c r="AH230" i="1" s="1"/>
  <c r="AI230" i="1" s="1"/>
  <c r="AJ230" i="1" s="1"/>
  <c r="AK230" i="1" s="1"/>
  <c r="AL230" i="1" s="1"/>
  <c r="AM230" i="1" s="1"/>
  <c r="AN230" i="1" s="1"/>
  <c r="AO230" i="1" s="1"/>
  <c r="AP230" i="1" s="1"/>
  <c r="D229" i="1"/>
  <c r="E229" i="1" s="1"/>
  <c r="F229" i="1" s="1"/>
  <c r="G229" i="1" s="1"/>
  <c r="H229" i="1" s="1"/>
  <c r="I229" i="1" s="1"/>
  <c r="J229" i="1" s="1"/>
  <c r="K229" i="1" s="1"/>
  <c r="L229" i="1" s="1"/>
  <c r="M229" i="1" s="1"/>
  <c r="N229" i="1" s="1"/>
  <c r="O229" i="1" s="1"/>
  <c r="P229" i="1" s="1"/>
  <c r="Q229" i="1" s="1"/>
  <c r="R229" i="1" s="1"/>
  <c r="S229" i="1" s="1"/>
  <c r="T229" i="1" s="1"/>
  <c r="U229" i="1" s="1"/>
  <c r="V229" i="1" s="1"/>
  <c r="W229" i="1" s="1"/>
  <c r="X229" i="1" s="1"/>
  <c r="Y229" i="1" s="1"/>
  <c r="Z229" i="1" s="1"/>
  <c r="AA229" i="1" s="1"/>
  <c r="AB229" i="1" s="1"/>
  <c r="AC229" i="1" s="1"/>
  <c r="AD229" i="1" s="1"/>
  <c r="AE229" i="1" s="1"/>
  <c r="AF229" i="1" s="1"/>
  <c r="AG229" i="1" s="1"/>
  <c r="AH229" i="1" s="1"/>
  <c r="AI229" i="1" s="1"/>
  <c r="AJ229" i="1" s="1"/>
  <c r="AK229" i="1" s="1"/>
  <c r="AL229" i="1" s="1"/>
  <c r="AM229" i="1" s="1"/>
  <c r="AN229" i="1" s="1"/>
  <c r="AO229" i="1" s="1"/>
  <c r="AP229" i="1" s="1"/>
  <c r="D108" i="1"/>
  <c r="D107" i="1"/>
  <c r="D106" i="1"/>
  <c r="D104" i="1"/>
  <c r="D103" i="1"/>
  <c r="D102" i="1"/>
  <c r="V83" i="1" l="1"/>
  <c r="T12" i="49"/>
  <c r="E139" i="1"/>
  <c r="I135" i="1"/>
  <c r="AC135" i="1"/>
  <c r="E102" i="1"/>
  <c r="N135" i="1"/>
  <c r="E144" i="1"/>
  <c r="E108" i="1"/>
  <c r="S135" i="1"/>
  <c r="X135" i="1"/>
  <c r="E143" i="1"/>
  <c r="E142" i="1"/>
  <c r="E140" i="1"/>
  <c r="E141" i="1"/>
  <c r="E104" i="1"/>
  <c r="E106" i="1"/>
  <c r="E103" i="1"/>
  <c r="D135" i="1"/>
  <c r="E231" i="1"/>
  <c r="F231" i="1" s="1"/>
  <c r="G231" i="1" s="1"/>
  <c r="H231" i="1" s="1"/>
  <c r="I231" i="1" s="1"/>
  <c r="J231" i="1" s="1"/>
  <c r="K231" i="1" s="1"/>
  <c r="L231" i="1" s="1"/>
  <c r="M231" i="1" s="1"/>
  <c r="N231" i="1" s="1"/>
  <c r="O231" i="1" s="1"/>
  <c r="P231" i="1" s="1"/>
  <c r="Q231" i="1" s="1"/>
  <c r="R231" i="1" s="1"/>
  <c r="S231" i="1" s="1"/>
  <c r="T231" i="1" s="1"/>
  <c r="U231" i="1" s="1"/>
  <c r="V231" i="1" s="1"/>
  <c r="W231" i="1" s="1"/>
  <c r="X231" i="1" s="1"/>
  <c r="Y231" i="1" s="1"/>
  <c r="Z231" i="1" s="1"/>
  <c r="AA231" i="1" s="1"/>
  <c r="AB231" i="1" s="1"/>
  <c r="AC231" i="1" s="1"/>
  <c r="AD231" i="1" s="1"/>
  <c r="AE231" i="1" s="1"/>
  <c r="AF231" i="1" s="1"/>
  <c r="AG231" i="1" s="1"/>
  <c r="AH231" i="1" s="1"/>
  <c r="AI231" i="1" s="1"/>
  <c r="AJ231" i="1" s="1"/>
  <c r="AK231" i="1" s="1"/>
  <c r="AL231" i="1" s="1"/>
  <c r="AM231" i="1" s="1"/>
  <c r="AN231" i="1" s="1"/>
  <c r="AO231" i="1" s="1"/>
  <c r="AP231" i="1" s="1"/>
  <c r="E107" i="1"/>
  <c r="D82" i="1"/>
  <c r="DJ180" i="1"/>
  <c r="DK180" i="1" s="1"/>
  <c r="DL180" i="1" s="1"/>
  <c r="DM180" i="1" s="1"/>
  <c r="DN180" i="1" s="1"/>
  <c r="DO180" i="1" s="1"/>
  <c r="DP180" i="1" s="1"/>
  <c r="DQ180" i="1" s="1"/>
  <c r="DR180" i="1" s="1"/>
  <c r="DJ179" i="1"/>
  <c r="DK179" i="1" s="1"/>
  <c r="DL179" i="1" s="1"/>
  <c r="DM179" i="1" s="1"/>
  <c r="DN179" i="1" s="1"/>
  <c r="DO179" i="1" s="1"/>
  <c r="DP179" i="1" s="1"/>
  <c r="DQ179" i="1" s="1"/>
  <c r="DR179" i="1" s="1"/>
  <c r="CZ180" i="1"/>
  <c r="DA180" i="1" s="1"/>
  <c r="DB180" i="1" s="1"/>
  <c r="DC180" i="1" s="1"/>
  <c r="DD180" i="1" s="1"/>
  <c r="DE180" i="1" s="1"/>
  <c r="DF180" i="1" s="1"/>
  <c r="DG180" i="1" s="1"/>
  <c r="DH180" i="1" s="1"/>
  <c r="CZ179" i="1"/>
  <c r="DA179" i="1" s="1"/>
  <c r="DB179" i="1" s="1"/>
  <c r="DC179" i="1" s="1"/>
  <c r="DD179" i="1" s="1"/>
  <c r="DE179" i="1" s="1"/>
  <c r="DF179" i="1" s="1"/>
  <c r="DG179" i="1" s="1"/>
  <c r="DH179" i="1" s="1"/>
  <c r="CP181" i="1"/>
  <c r="CQ181" i="1" s="1"/>
  <c r="CR181" i="1" s="1"/>
  <c r="CS181" i="1" s="1"/>
  <c r="CT181" i="1" s="1"/>
  <c r="CU181" i="1" s="1"/>
  <c r="CV181" i="1" s="1"/>
  <c r="CW181" i="1" s="1"/>
  <c r="CX181" i="1" s="1"/>
  <c r="CP180" i="1"/>
  <c r="CQ180" i="1" s="1"/>
  <c r="CR180" i="1" s="1"/>
  <c r="CS180" i="1" s="1"/>
  <c r="CT180" i="1" s="1"/>
  <c r="CU180" i="1" s="1"/>
  <c r="CV180" i="1" s="1"/>
  <c r="CW180" i="1" s="1"/>
  <c r="CX180" i="1" s="1"/>
  <c r="CP179" i="1"/>
  <c r="CQ179" i="1" s="1"/>
  <c r="CR179" i="1" s="1"/>
  <c r="CS179" i="1" s="1"/>
  <c r="CT179" i="1" s="1"/>
  <c r="CU179" i="1" s="1"/>
  <c r="CV179" i="1" s="1"/>
  <c r="CW179" i="1" s="1"/>
  <c r="CX179" i="1" s="1"/>
  <c r="CF184" i="1"/>
  <c r="CG184" i="1" s="1"/>
  <c r="CH184" i="1" s="1"/>
  <c r="CI184" i="1" s="1"/>
  <c r="CJ184" i="1" s="1"/>
  <c r="CK184" i="1" s="1"/>
  <c r="CL184" i="1" s="1"/>
  <c r="CM184" i="1" s="1"/>
  <c r="CN184" i="1" s="1"/>
  <c r="CF181" i="1"/>
  <c r="CG181" i="1" s="1"/>
  <c r="CH181" i="1" s="1"/>
  <c r="CI181" i="1" s="1"/>
  <c r="CJ181" i="1" s="1"/>
  <c r="CK181" i="1" s="1"/>
  <c r="CL181" i="1" s="1"/>
  <c r="CM181" i="1" s="1"/>
  <c r="CN181" i="1" s="1"/>
  <c r="CF180" i="1"/>
  <c r="CG180" i="1" s="1"/>
  <c r="CH180" i="1" s="1"/>
  <c r="CI180" i="1" s="1"/>
  <c r="CJ180" i="1" s="1"/>
  <c r="CK180" i="1" s="1"/>
  <c r="CL180" i="1" s="1"/>
  <c r="CM180" i="1" s="1"/>
  <c r="CN180" i="1" s="1"/>
  <c r="CF179" i="1"/>
  <c r="CG179" i="1" s="1"/>
  <c r="CH179" i="1" s="1"/>
  <c r="CI179" i="1" s="1"/>
  <c r="CJ179" i="1" s="1"/>
  <c r="CK179" i="1" s="1"/>
  <c r="CL179" i="1" s="1"/>
  <c r="CM179" i="1" s="1"/>
  <c r="CN179" i="1" s="1"/>
  <c r="BV184" i="1"/>
  <c r="BW184" i="1" s="1"/>
  <c r="BX184" i="1" s="1"/>
  <c r="BY184" i="1" s="1"/>
  <c r="BZ184" i="1" s="1"/>
  <c r="CA184" i="1" s="1"/>
  <c r="CB184" i="1" s="1"/>
  <c r="CC184" i="1" s="1"/>
  <c r="CD184" i="1" s="1"/>
  <c r="BV183" i="1"/>
  <c r="BW183" i="1" s="1"/>
  <c r="BX183" i="1" s="1"/>
  <c r="BY183" i="1" s="1"/>
  <c r="BZ183" i="1" s="1"/>
  <c r="CA183" i="1" s="1"/>
  <c r="CB183" i="1" s="1"/>
  <c r="CC183" i="1" s="1"/>
  <c r="CD183" i="1" s="1"/>
  <c r="BV182" i="1"/>
  <c r="BW182" i="1" s="1"/>
  <c r="BX182" i="1" s="1"/>
  <c r="BY182" i="1" s="1"/>
  <c r="BZ182" i="1" s="1"/>
  <c r="CA182" i="1" s="1"/>
  <c r="CB182" i="1" s="1"/>
  <c r="CC182" i="1" s="1"/>
  <c r="CD182" i="1" s="1"/>
  <c r="BV181" i="1"/>
  <c r="BW181" i="1" s="1"/>
  <c r="BX181" i="1" s="1"/>
  <c r="BY181" i="1" s="1"/>
  <c r="BZ181" i="1" s="1"/>
  <c r="CA181" i="1" s="1"/>
  <c r="CB181" i="1" s="1"/>
  <c r="CC181" i="1" s="1"/>
  <c r="CD181" i="1" s="1"/>
  <c r="BV180" i="1"/>
  <c r="BW180" i="1" s="1"/>
  <c r="BX180" i="1" s="1"/>
  <c r="BY180" i="1" s="1"/>
  <c r="BZ180" i="1" s="1"/>
  <c r="CA180" i="1" s="1"/>
  <c r="CB180" i="1" s="1"/>
  <c r="CC180" i="1" s="1"/>
  <c r="CD180" i="1" s="1"/>
  <c r="BV179" i="1"/>
  <c r="BW179" i="1" s="1"/>
  <c r="BX179" i="1" s="1"/>
  <c r="BY179" i="1" s="1"/>
  <c r="BZ179" i="1" s="1"/>
  <c r="CA179" i="1" s="1"/>
  <c r="CB179" i="1" s="1"/>
  <c r="CC179" i="1" s="1"/>
  <c r="CD179" i="1" s="1"/>
  <c r="BL184" i="1"/>
  <c r="BM184" i="1" s="1"/>
  <c r="BN184" i="1" s="1"/>
  <c r="BO184" i="1" s="1"/>
  <c r="BP184" i="1" s="1"/>
  <c r="BQ184" i="1" s="1"/>
  <c r="BR184" i="1" s="1"/>
  <c r="BS184" i="1" s="1"/>
  <c r="BT184" i="1" s="1"/>
  <c r="BL183" i="1"/>
  <c r="BM183" i="1" s="1"/>
  <c r="BN183" i="1" s="1"/>
  <c r="BO183" i="1" s="1"/>
  <c r="BP183" i="1" s="1"/>
  <c r="BQ183" i="1" s="1"/>
  <c r="BR183" i="1" s="1"/>
  <c r="BS183" i="1" s="1"/>
  <c r="BT183" i="1" s="1"/>
  <c r="BL182" i="1"/>
  <c r="BM182" i="1" s="1"/>
  <c r="BN182" i="1" s="1"/>
  <c r="BO182" i="1" s="1"/>
  <c r="BP182" i="1" s="1"/>
  <c r="BQ182" i="1" s="1"/>
  <c r="BR182" i="1" s="1"/>
  <c r="BS182" i="1" s="1"/>
  <c r="BT182" i="1" s="1"/>
  <c r="BL181" i="1"/>
  <c r="BM181" i="1" s="1"/>
  <c r="BN181" i="1" s="1"/>
  <c r="BO181" i="1" s="1"/>
  <c r="BP181" i="1" s="1"/>
  <c r="BQ181" i="1" s="1"/>
  <c r="BR181" i="1" s="1"/>
  <c r="BS181" i="1" s="1"/>
  <c r="BT181" i="1" s="1"/>
  <c r="BL180" i="1"/>
  <c r="BM180" i="1" s="1"/>
  <c r="BN180" i="1" s="1"/>
  <c r="BO180" i="1" s="1"/>
  <c r="BP180" i="1" s="1"/>
  <c r="BQ180" i="1" s="1"/>
  <c r="BR180" i="1" s="1"/>
  <c r="BS180" i="1" s="1"/>
  <c r="BT180" i="1" s="1"/>
  <c r="BL179" i="1"/>
  <c r="BM179" i="1" s="1"/>
  <c r="BN179" i="1" s="1"/>
  <c r="BO179" i="1" s="1"/>
  <c r="BP179" i="1" s="1"/>
  <c r="BQ179" i="1" s="1"/>
  <c r="BR179" i="1" s="1"/>
  <c r="BS179" i="1" s="1"/>
  <c r="BT179" i="1" s="1"/>
  <c r="BB184" i="1"/>
  <c r="BC184" i="1" s="1"/>
  <c r="BD184" i="1" s="1"/>
  <c r="BE184" i="1" s="1"/>
  <c r="BF184" i="1" s="1"/>
  <c r="BG184" i="1" s="1"/>
  <c r="BH184" i="1" s="1"/>
  <c r="BI184" i="1" s="1"/>
  <c r="BJ184" i="1" s="1"/>
  <c r="BB183" i="1"/>
  <c r="BC183" i="1" s="1"/>
  <c r="BD183" i="1" s="1"/>
  <c r="BE183" i="1" s="1"/>
  <c r="BF183" i="1" s="1"/>
  <c r="BG183" i="1" s="1"/>
  <c r="BH183" i="1" s="1"/>
  <c r="BI183" i="1" s="1"/>
  <c r="BJ183" i="1" s="1"/>
  <c r="BB182" i="1"/>
  <c r="BC182" i="1" s="1"/>
  <c r="BD182" i="1" s="1"/>
  <c r="BE182" i="1" s="1"/>
  <c r="BF182" i="1" s="1"/>
  <c r="BG182" i="1" s="1"/>
  <c r="BH182" i="1" s="1"/>
  <c r="BI182" i="1" s="1"/>
  <c r="BJ182" i="1" s="1"/>
  <c r="BB181" i="1"/>
  <c r="BC181" i="1" s="1"/>
  <c r="BD181" i="1" s="1"/>
  <c r="BE181" i="1" s="1"/>
  <c r="BF181" i="1" s="1"/>
  <c r="BG181" i="1" s="1"/>
  <c r="BH181" i="1" s="1"/>
  <c r="BI181" i="1" s="1"/>
  <c r="BJ181" i="1" s="1"/>
  <c r="BB180" i="1"/>
  <c r="BC180" i="1" s="1"/>
  <c r="BD180" i="1" s="1"/>
  <c r="BE180" i="1" s="1"/>
  <c r="BF180" i="1" s="1"/>
  <c r="BG180" i="1" s="1"/>
  <c r="BH180" i="1" s="1"/>
  <c r="BI180" i="1" s="1"/>
  <c r="BJ180" i="1" s="1"/>
  <c r="BB179" i="1"/>
  <c r="BC179" i="1" s="1"/>
  <c r="BD179" i="1" s="1"/>
  <c r="BE179" i="1" s="1"/>
  <c r="BF179" i="1" s="1"/>
  <c r="BG179" i="1" s="1"/>
  <c r="BH179" i="1" s="1"/>
  <c r="BI179" i="1" s="1"/>
  <c r="BJ179" i="1" s="1"/>
  <c r="AR184" i="1"/>
  <c r="AS184" i="1" s="1"/>
  <c r="AT184" i="1" s="1"/>
  <c r="AU184" i="1" s="1"/>
  <c r="AV184" i="1" s="1"/>
  <c r="AW184" i="1" s="1"/>
  <c r="AX184" i="1" s="1"/>
  <c r="AY184" i="1" s="1"/>
  <c r="AZ184" i="1" s="1"/>
  <c r="AR183" i="1"/>
  <c r="AS183" i="1" s="1"/>
  <c r="AT183" i="1" s="1"/>
  <c r="AU183" i="1" s="1"/>
  <c r="AV183" i="1" s="1"/>
  <c r="AW183" i="1" s="1"/>
  <c r="AX183" i="1" s="1"/>
  <c r="AY183" i="1" s="1"/>
  <c r="AZ183" i="1" s="1"/>
  <c r="AR182" i="1"/>
  <c r="AS182" i="1" s="1"/>
  <c r="AT182" i="1" s="1"/>
  <c r="AU182" i="1" s="1"/>
  <c r="AV182" i="1" s="1"/>
  <c r="AW182" i="1" s="1"/>
  <c r="AX182" i="1" s="1"/>
  <c r="AY182" i="1" s="1"/>
  <c r="AZ182" i="1" s="1"/>
  <c r="AR181" i="1"/>
  <c r="AS181" i="1" s="1"/>
  <c r="AT181" i="1" s="1"/>
  <c r="AU181" i="1" s="1"/>
  <c r="AV181" i="1" s="1"/>
  <c r="AW181" i="1" s="1"/>
  <c r="AX181" i="1" s="1"/>
  <c r="AY181" i="1" s="1"/>
  <c r="AZ181" i="1" s="1"/>
  <c r="AR180" i="1"/>
  <c r="AS180" i="1" s="1"/>
  <c r="AT180" i="1" s="1"/>
  <c r="AU180" i="1" s="1"/>
  <c r="AV180" i="1" s="1"/>
  <c r="AW180" i="1" s="1"/>
  <c r="AX180" i="1" s="1"/>
  <c r="AY180" i="1" s="1"/>
  <c r="AZ180" i="1" s="1"/>
  <c r="AR179" i="1"/>
  <c r="AS179" i="1" s="1"/>
  <c r="AT179" i="1" s="1"/>
  <c r="AU179" i="1" s="1"/>
  <c r="AV179" i="1" s="1"/>
  <c r="AW179" i="1" s="1"/>
  <c r="AX179" i="1" s="1"/>
  <c r="AY179" i="1" s="1"/>
  <c r="AZ179" i="1" s="1"/>
  <c r="AH184" i="1"/>
  <c r="AI184" i="1" s="1"/>
  <c r="AJ184" i="1" s="1"/>
  <c r="AK184" i="1" s="1"/>
  <c r="AL184" i="1" s="1"/>
  <c r="AM184" i="1" s="1"/>
  <c r="AN184" i="1" s="1"/>
  <c r="AO184" i="1" s="1"/>
  <c r="AP184" i="1" s="1"/>
  <c r="AH183" i="1"/>
  <c r="AI183" i="1" s="1"/>
  <c r="AJ183" i="1" s="1"/>
  <c r="AK183" i="1" s="1"/>
  <c r="AL183" i="1" s="1"/>
  <c r="AM183" i="1" s="1"/>
  <c r="AN183" i="1" s="1"/>
  <c r="AO183" i="1" s="1"/>
  <c r="AP183" i="1" s="1"/>
  <c r="AH182" i="1"/>
  <c r="AI182" i="1" s="1"/>
  <c r="AJ182" i="1" s="1"/>
  <c r="AK182" i="1" s="1"/>
  <c r="AL182" i="1" s="1"/>
  <c r="AM182" i="1" s="1"/>
  <c r="AN182" i="1" s="1"/>
  <c r="AO182" i="1" s="1"/>
  <c r="AP182" i="1" s="1"/>
  <c r="AH181" i="1"/>
  <c r="AI181" i="1" s="1"/>
  <c r="AJ181" i="1" s="1"/>
  <c r="AK181" i="1" s="1"/>
  <c r="AL181" i="1" s="1"/>
  <c r="AM181" i="1" s="1"/>
  <c r="AN181" i="1" s="1"/>
  <c r="AO181" i="1" s="1"/>
  <c r="AP181" i="1" s="1"/>
  <c r="AH180" i="1"/>
  <c r="AI180" i="1" s="1"/>
  <c r="AJ180" i="1" s="1"/>
  <c r="AK180" i="1" s="1"/>
  <c r="AL180" i="1" s="1"/>
  <c r="AM180" i="1" s="1"/>
  <c r="AN180" i="1" s="1"/>
  <c r="AO180" i="1" s="1"/>
  <c r="AP180" i="1" s="1"/>
  <c r="AH179" i="1"/>
  <c r="AI179" i="1" s="1"/>
  <c r="AJ179" i="1" s="1"/>
  <c r="AK179" i="1" s="1"/>
  <c r="AL179" i="1" s="1"/>
  <c r="AM179" i="1" s="1"/>
  <c r="AN179" i="1" s="1"/>
  <c r="AO179" i="1" s="1"/>
  <c r="AP179" i="1" s="1"/>
  <c r="X184" i="1"/>
  <c r="Y184" i="1" s="1"/>
  <c r="Z184" i="1" s="1"/>
  <c r="AA184" i="1" s="1"/>
  <c r="AB184" i="1" s="1"/>
  <c r="AC184" i="1" s="1"/>
  <c r="AD184" i="1" s="1"/>
  <c r="AE184" i="1" s="1"/>
  <c r="AF184" i="1" s="1"/>
  <c r="X183" i="1"/>
  <c r="Y183" i="1" s="1"/>
  <c r="Z183" i="1" s="1"/>
  <c r="AA183" i="1" s="1"/>
  <c r="AB183" i="1" s="1"/>
  <c r="AC183" i="1" s="1"/>
  <c r="AD183" i="1" s="1"/>
  <c r="AE183" i="1" s="1"/>
  <c r="AF183" i="1" s="1"/>
  <c r="X182" i="1"/>
  <c r="Y182" i="1" s="1"/>
  <c r="Z182" i="1" s="1"/>
  <c r="AA182" i="1" s="1"/>
  <c r="AB182" i="1" s="1"/>
  <c r="AC182" i="1" s="1"/>
  <c r="AD182" i="1" s="1"/>
  <c r="AE182" i="1" s="1"/>
  <c r="AF182" i="1" s="1"/>
  <c r="X181" i="1"/>
  <c r="Y181" i="1" s="1"/>
  <c r="Z181" i="1" s="1"/>
  <c r="AA181" i="1" s="1"/>
  <c r="AB181" i="1" s="1"/>
  <c r="AC181" i="1" s="1"/>
  <c r="AD181" i="1" s="1"/>
  <c r="AE181" i="1" s="1"/>
  <c r="AF181" i="1" s="1"/>
  <c r="X180" i="1"/>
  <c r="Y180" i="1" s="1"/>
  <c r="Z180" i="1" s="1"/>
  <c r="AA180" i="1" s="1"/>
  <c r="AB180" i="1" s="1"/>
  <c r="AC180" i="1" s="1"/>
  <c r="AD180" i="1" s="1"/>
  <c r="AE180" i="1" s="1"/>
  <c r="AF180" i="1" s="1"/>
  <c r="X179" i="1"/>
  <c r="Y179" i="1" s="1"/>
  <c r="Z179" i="1" s="1"/>
  <c r="AA179" i="1" s="1"/>
  <c r="AB179" i="1" s="1"/>
  <c r="AC179" i="1" s="1"/>
  <c r="AD179" i="1" s="1"/>
  <c r="AE179" i="1" s="1"/>
  <c r="AF179" i="1" s="1"/>
  <c r="N184" i="1"/>
  <c r="O184" i="1" s="1"/>
  <c r="P184" i="1" s="1"/>
  <c r="Q184" i="1" s="1"/>
  <c r="R184" i="1" s="1"/>
  <c r="S184" i="1" s="1"/>
  <c r="T184" i="1" s="1"/>
  <c r="U184" i="1" s="1"/>
  <c r="V184" i="1" s="1"/>
  <c r="N183" i="1"/>
  <c r="O183" i="1" s="1"/>
  <c r="P183" i="1" s="1"/>
  <c r="Q183" i="1" s="1"/>
  <c r="R183" i="1" s="1"/>
  <c r="S183" i="1" s="1"/>
  <c r="T183" i="1" s="1"/>
  <c r="U183" i="1" s="1"/>
  <c r="V183" i="1" s="1"/>
  <c r="N182" i="1"/>
  <c r="O182" i="1" s="1"/>
  <c r="P182" i="1" s="1"/>
  <c r="Q182" i="1" s="1"/>
  <c r="R182" i="1" s="1"/>
  <c r="S182" i="1" s="1"/>
  <c r="T182" i="1" s="1"/>
  <c r="U182" i="1" s="1"/>
  <c r="V182" i="1" s="1"/>
  <c r="N181" i="1"/>
  <c r="O181" i="1" s="1"/>
  <c r="P181" i="1" s="1"/>
  <c r="Q181" i="1" s="1"/>
  <c r="R181" i="1" s="1"/>
  <c r="S181" i="1" s="1"/>
  <c r="T181" i="1" s="1"/>
  <c r="U181" i="1" s="1"/>
  <c r="V181" i="1" s="1"/>
  <c r="N180" i="1"/>
  <c r="O180" i="1" s="1"/>
  <c r="P180" i="1" s="1"/>
  <c r="Q180" i="1" s="1"/>
  <c r="R180" i="1" s="1"/>
  <c r="S180" i="1" s="1"/>
  <c r="T180" i="1" s="1"/>
  <c r="U180" i="1" s="1"/>
  <c r="V180" i="1" s="1"/>
  <c r="N179" i="1"/>
  <c r="O179" i="1" s="1"/>
  <c r="P179" i="1" s="1"/>
  <c r="Q179" i="1" s="1"/>
  <c r="R179" i="1" s="1"/>
  <c r="S179" i="1" s="1"/>
  <c r="T179" i="1" s="1"/>
  <c r="U179" i="1" s="1"/>
  <c r="V179" i="1" s="1"/>
  <c r="D184" i="1"/>
  <c r="E184" i="1" s="1"/>
  <c r="F184" i="1" s="1"/>
  <c r="G184" i="1" s="1"/>
  <c r="H184" i="1" s="1"/>
  <c r="I184" i="1" s="1"/>
  <c r="J184" i="1" s="1"/>
  <c r="K184" i="1" s="1"/>
  <c r="L184" i="1" s="1"/>
  <c r="D183" i="1"/>
  <c r="E183" i="1" s="1"/>
  <c r="F183" i="1" s="1"/>
  <c r="G183" i="1" s="1"/>
  <c r="H183" i="1" s="1"/>
  <c r="I183" i="1" s="1"/>
  <c r="J183" i="1" s="1"/>
  <c r="K183" i="1" s="1"/>
  <c r="L183" i="1" s="1"/>
  <c r="D182" i="1"/>
  <c r="E182" i="1" s="1"/>
  <c r="F182" i="1" s="1"/>
  <c r="G182" i="1" s="1"/>
  <c r="H182" i="1" s="1"/>
  <c r="I182" i="1" s="1"/>
  <c r="J182" i="1" s="1"/>
  <c r="K182" i="1" s="1"/>
  <c r="L182" i="1" s="1"/>
  <c r="D181" i="1"/>
  <c r="E181" i="1" s="1"/>
  <c r="F181" i="1" s="1"/>
  <c r="G181" i="1" s="1"/>
  <c r="H181" i="1" s="1"/>
  <c r="I181" i="1" s="1"/>
  <c r="J181" i="1" s="1"/>
  <c r="K181" i="1" s="1"/>
  <c r="L181" i="1" s="1"/>
  <c r="D180" i="1"/>
  <c r="E180" i="1" s="1"/>
  <c r="F180" i="1" s="1"/>
  <c r="G180" i="1" s="1"/>
  <c r="H180" i="1" s="1"/>
  <c r="I180" i="1" s="1"/>
  <c r="J180" i="1" s="1"/>
  <c r="K180" i="1" s="1"/>
  <c r="L180" i="1" s="1"/>
  <c r="D179" i="1"/>
  <c r="E179" i="1" s="1"/>
  <c r="F179" i="1" s="1"/>
  <c r="G179" i="1" s="1"/>
  <c r="H179" i="1" s="1"/>
  <c r="I179" i="1" s="1"/>
  <c r="J179" i="1" s="1"/>
  <c r="K179" i="1" s="1"/>
  <c r="L179" i="1" s="1"/>
  <c r="W83" i="1" l="1"/>
  <c r="U12" i="49"/>
  <c r="F107" i="1"/>
  <c r="E135" i="1"/>
  <c r="F106" i="1"/>
  <c r="F140" i="1"/>
  <c r="F142" i="1"/>
  <c r="Y135" i="1"/>
  <c r="AD135" i="1"/>
  <c r="F141" i="1"/>
  <c r="T135" i="1"/>
  <c r="F139" i="1"/>
  <c r="F104" i="1"/>
  <c r="F143" i="1"/>
  <c r="F144" i="1"/>
  <c r="F102" i="1"/>
  <c r="J135" i="1"/>
  <c r="F103" i="1"/>
  <c r="F108" i="1"/>
  <c r="O135" i="1"/>
  <c r="E82" i="1"/>
  <c r="F76" i="1"/>
  <c r="F77" i="1"/>
  <c r="F78" i="1"/>
  <c r="F75" i="1"/>
  <c r="D11" i="49" l="1"/>
  <c r="D11" i="10"/>
  <c r="X83" i="1"/>
  <c r="V12" i="49"/>
  <c r="G104" i="1"/>
  <c r="P135" i="1"/>
  <c r="G108" i="1"/>
  <c r="G103" i="1"/>
  <c r="K135" i="1"/>
  <c r="G102" i="1"/>
  <c r="G139" i="1"/>
  <c r="G141" i="1"/>
  <c r="AE135" i="1"/>
  <c r="G142" i="1"/>
  <c r="G143" i="1"/>
  <c r="G106" i="1"/>
  <c r="G107" i="1"/>
  <c r="Z135" i="1"/>
  <c r="G144" i="1"/>
  <c r="U135" i="1"/>
  <c r="G140" i="1"/>
  <c r="F135" i="1"/>
  <c r="Y83" i="1" l="1"/>
  <c r="W12" i="49"/>
  <c r="H107" i="1"/>
  <c r="H102" i="1"/>
  <c r="H144" i="1"/>
  <c r="H140" i="1"/>
  <c r="H143" i="1"/>
  <c r="H108" i="1"/>
  <c r="H139" i="1"/>
  <c r="H103" i="1"/>
  <c r="H104" i="1"/>
  <c r="H141" i="1"/>
  <c r="H106" i="1"/>
  <c r="H142" i="1"/>
  <c r="E4" i="4"/>
  <c r="D84" i="1"/>
  <c r="F82" i="1"/>
  <c r="E11" i="49" s="1"/>
  <c r="F4" i="9"/>
  <c r="G4" i="9" s="1"/>
  <c r="G4" i="19"/>
  <c r="H4" i="19"/>
  <c r="I4" i="19"/>
  <c r="J4" i="19"/>
  <c r="K4" i="19"/>
  <c r="L4" i="19"/>
  <c r="M4" i="19"/>
  <c r="N4" i="19"/>
  <c r="O4" i="19"/>
  <c r="P4" i="19"/>
  <c r="Q4" i="19"/>
  <c r="R4" i="19"/>
  <c r="S4" i="19"/>
  <c r="T4" i="19"/>
  <c r="U4" i="19"/>
  <c r="V4" i="19"/>
  <c r="W4" i="19"/>
  <c r="X4" i="19"/>
  <c r="Y4" i="19"/>
  <c r="Z4" i="19"/>
  <c r="AA4" i="19"/>
  <c r="AB4" i="19"/>
  <c r="AC4" i="19"/>
  <c r="AD4" i="19"/>
  <c r="AE4" i="19"/>
  <c r="AF4" i="19"/>
  <c r="T4" i="10"/>
  <c r="U4" i="10"/>
  <c r="V4" i="10"/>
  <c r="W4" i="10"/>
  <c r="X4" i="10"/>
  <c r="Y4" i="10"/>
  <c r="Z4" i="10"/>
  <c r="AA4" i="10"/>
  <c r="AB4" i="10"/>
  <c r="AC4" i="10"/>
  <c r="AD4" i="10"/>
  <c r="AE4" i="10"/>
  <c r="AF4" i="10"/>
  <c r="G4" i="10"/>
  <c r="H4" i="10"/>
  <c r="I4" i="10"/>
  <c r="J4" i="10"/>
  <c r="K4" i="10"/>
  <c r="L4" i="10"/>
  <c r="M4" i="10"/>
  <c r="N4" i="10"/>
  <c r="O4" i="10"/>
  <c r="P4" i="10"/>
  <c r="Q4" i="10"/>
  <c r="R4" i="10"/>
  <c r="S4" i="10"/>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AF15" i="4"/>
  <c r="AF49" i="6" s="1"/>
  <c r="AF50" i="6" s="1"/>
  <c r="AE15" i="4"/>
  <c r="AE49" i="6" s="1"/>
  <c r="AE50" i="6" s="1"/>
  <c r="AD15" i="4"/>
  <c r="AD49" i="6" s="1"/>
  <c r="AD50" i="6" s="1"/>
  <c r="AC15" i="4"/>
  <c r="AC49" i="6" s="1"/>
  <c r="AC50" i="6" s="1"/>
  <c r="AB15" i="4"/>
  <c r="AB49" i="6" s="1"/>
  <c r="AB50" i="6" s="1"/>
  <c r="AA15" i="4"/>
  <c r="AA49" i="6" s="1"/>
  <c r="AA50" i="6" s="1"/>
  <c r="Z15" i="4"/>
  <c r="Z49" i="6" s="1"/>
  <c r="Z50" i="6" s="1"/>
  <c r="Y15" i="4"/>
  <c r="Y49" i="6" s="1"/>
  <c r="Y50" i="6" s="1"/>
  <c r="X15" i="4"/>
  <c r="X49" i="6" s="1"/>
  <c r="X50" i="6" s="1"/>
  <c r="W15" i="4"/>
  <c r="W49" i="6" s="1"/>
  <c r="W50" i="6" s="1"/>
  <c r="V15" i="4"/>
  <c r="V49" i="6" s="1"/>
  <c r="V50" i="6" s="1"/>
  <c r="U15" i="4"/>
  <c r="U49" i="6" s="1"/>
  <c r="U50" i="6" s="1"/>
  <c r="T15" i="4"/>
  <c r="T49" i="6" s="1"/>
  <c r="T50" i="6" s="1"/>
  <c r="S15" i="4"/>
  <c r="S49" i="6" s="1"/>
  <c r="S50" i="6" s="1"/>
  <c r="R15" i="4"/>
  <c r="R49" i="6" s="1"/>
  <c r="R50" i="6" s="1"/>
  <c r="Q15" i="4"/>
  <c r="Q49" i="6" s="1"/>
  <c r="Q50" i="6" s="1"/>
  <c r="P15" i="4"/>
  <c r="P49" i="6" s="1"/>
  <c r="P50" i="6" s="1"/>
  <c r="O15" i="4"/>
  <c r="O49" i="6" s="1"/>
  <c r="O50" i="6" s="1"/>
  <c r="N15" i="4"/>
  <c r="N49" i="6" s="1"/>
  <c r="N50" i="6" s="1"/>
  <c r="M15" i="4"/>
  <c r="M49" i="6" s="1"/>
  <c r="M50" i="6" s="1"/>
  <c r="L15" i="4"/>
  <c r="L49" i="6" s="1"/>
  <c r="L50" i="6" s="1"/>
  <c r="K15" i="4"/>
  <c r="K49" i="6" s="1"/>
  <c r="K50" i="6" s="1"/>
  <c r="J15" i="4"/>
  <c r="J49" i="6" s="1"/>
  <c r="J50" i="6" s="1"/>
  <c r="I15" i="4"/>
  <c r="I49" i="6" s="1"/>
  <c r="I50" i="6" s="1"/>
  <c r="H15" i="4"/>
  <c r="H49" i="6" s="1"/>
  <c r="G15" i="4"/>
  <c r="G49" i="6" s="1"/>
  <c r="F15" i="4"/>
  <c r="F49" i="6" s="1"/>
  <c r="E15" i="4"/>
  <c r="E49" i="6" s="1"/>
  <c r="D15" i="4"/>
  <c r="D49" i="6" s="1"/>
  <c r="AF7" i="4"/>
  <c r="AE7" i="4"/>
  <c r="AD7" i="4"/>
  <c r="AC7" i="4"/>
  <c r="AB7" i="4"/>
  <c r="AA7" i="4"/>
  <c r="Z7" i="4"/>
  <c r="Y7" i="4"/>
  <c r="X7" i="4"/>
  <c r="W7" i="4"/>
  <c r="V7" i="4"/>
  <c r="U7" i="4"/>
  <c r="T7" i="4"/>
  <c r="S7" i="4"/>
  <c r="R7" i="4"/>
  <c r="Q7" i="4"/>
  <c r="P7" i="4"/>
  <c r="O7" i="4"/>
  <c r="N7" i="4"/>
  <c r="M7" i="4"/>
  <c r="L7" i="4"/>
  <c r="K7" i="4"/>
  <c r="J7" i="4"/>
  <c r="I7" i="4"/>
  <c r="H7" i="4"/>
  <c r="G7" i="4"/>
  <c r="F7" i="4"/>
  <c r="E7" i="4"/>
  <c r="D7" i="4"/>
  <c r="C14" i="4"/>
  <c r="C13" i="4"/>
  <c r="C6" i="4"/>
  <c r="C5" i="4"/>
  <c r="C28" i="2"/>
  <c r="C26" i="2"/>
  <c r="C25" i="2"/>
  <c r="G10" i="2"/>
  <c r="F10" i="2"/>
  <c r="E10" i="2"/>
  <c r="D10" i="2"/>
  <c r="C11" i="2"/>
  <c r="C9" i="2"/>
  <c r="I6" i="9"/>
  <c r="C7" i="2"/>
  <c r="C6" i="2"/>
  <c r="G4" i="4"/>
  <c r="H4" i="4"/>
  <c r="I4" i="4"/>
  <c r="I20" i="4" s="1"/>
  <c r="J4" i="4"/>
  <c r="K4" i="4"/>
  <c r="L4" i="4"/>
  <c r="M4" i="4"/>
  <c r="N4" i="4"/>
  <c r="O4" i="4"/>
  <c r="P4" i="4"/>
  <c r="Q4" i="4"/>
  <c r="Q20" i="4" s="1"/>
  <c r="R4" i="4"/>
  <c r="S4" i="4"/>
  <c r="S20" i="4" s="1"/>
  <c r="T4" i="4"/>
  <c r="U4" i="4"/>
  <c r="V4" i="4"/>
  <c r="W4" i="4"/>
  <c r="X4" i="4"/>
  <c r="Y4" i="4"/>
  <c r="Y20" i="4" s="1"/>
  <c r="Z4" i="4"/>
  <c r="AA4" i="4"/>
  <c r="AB4" i="4"/>
  <c r="AC4" i="4"/>
  <c r="AD4" i="4"/>
  <c r="AE4" i="4"/>
  <c r="AF4" i="4"/>
  <c r="E4" i="19"/>
  <c r="F4" i="2"/>
  <c r="F4" i="4"/>
  <c r="K23" i="2"/>
  <c r="F4" i="19"/>
  <c r="G4" i="2"/>
  <c r="D23" i="2"/>
  <c r="E23" i="2"/>
  <c r="E4" i="6"/>
  <c r="G4" i="6"/>
  <c r="K4" i="6"/>
  <c r="O4" i="6"/>
  <c r="S4" i="6"/>
  <c r="W4" i="6"/>
  <c r="AA4" i="6"/>
  <c r="AE4" i="6"/>
  <c r="AE17" i="6" s="1"/>
  <c r="H4" i="6"/>
  <c r="L4" i="6"/>
  <c r="P4" i="6"/>
  <c r="T4" i="6"/>
  <c r="X4" i="6"/>
  <c r="AB4" i="6"/>
  <c r="AF4" i="6"/>
  <c r="I4" i="6"/>
  <c r="M4" i="6"/>
  <c r="Q4" i="6"/>
  <c r="U4" i="6"/>
  <c r="Y4" i="6"/>
  <c r="AC4" i="6"/>
  <c r="J4" i="6"/>
  <c r="N4" i="6"/>
  <c r="R4" i="6"/>
  <c r="V4" i="6"/>
  <c r="Z4" i="6"/>
  <c r="AD4" i="6"/>
  <c r="F4" i="6"/>
  <c r="D17" i="6"/>
  <c r="F4" i="10"/>
  <c r="E4" i="10"/>
  <c r="D12" i="4"/>
  <c r="Z83" i="1" l="1"/>
  <c r="X12" i="49"/>
  <c r="I23" i="4"/>
  <c r="Q23" i="4"/>
  <c r="Y23" i="4"/>
  <c r="G23" i="2"/>
  <c r="D5" i="32"/>
  <c r="G5" i="32" s="1"/>
  <c r="H5" i="32" s="1"/>
  <c r="I5" i="32" s="1"/>
  <c r="F23" i="2"/>
  <c r="D4" i="32"/>
  <c r="G4" i="32" s="1"/>
  <c r="H4" i="32" s="1"/>
  <c r="E18" i="35"/>
  <c r="E5" i="36"/>
  <c r="E35" i="36" s="1"/>
  <c r="E38" i="36" s="1"/>
  <c r="E12" i="2"/>
  <c r="F18" i="35"/>
  <c r="F5" i="36"/>
  <c r="F35" i="36" s="1"/>
  <c r="F38" i="36" s="1"/>
  <c r="F12" i="2"/>
  <c r="G18" i="35"/>
  <c r="G5" i="36"/>
  <c r="G12" i="2"/>
  <c r="E23" i="4"/>
  <c r="M23" i="4"/>
  <c r="U23" i="4"/>
  <c r="AC23" i="4"/>
  <c r="I4" i="9"/>
  <c r="D5" i="36"/>
  <c r="D18" i="35"/>
  <c r="I5" i="9"/>
  <c r="I21" i="6"/>
  <c r="I23" i="6" s="1"/>
  <c r="E6" i="10"/>
  <c r="E11" i="10" s="1"/>
  <c r="E7" i="10"/>
  <c r="E12" i="10" s="1"/>
  <c r="E8" i="10"/>
  <c r="I7" i="10"/>
  <c r="I12" i="10" s="1"/>
  <c r="I8" i="10"/>
  <c r="I6" i="10"/>
  <c r="M7" i="10"/>
  <c r="M12" i="10" s="1"/>
  <c r="M6" i="10"/>
  <c r="M8" i="10"/>
  <c r="Q7" i="10"/>
  <c r="Q12" i="10" s="1"/>
  <c r="Q8" i="10"/>
  <c r="Q6" i="10"/>
  <c r="U7" i="10"/>
  <c r="U12" i="10" s="1"/>
  <c r="U8" i="10"/>
  <c r="U6" i="10"/>
  <c r="Y7" i="10"/>
  <c r="Y12" i="10" s="1"/>
  <c r="Y8" i="10"/>
  <c r="Y6" i="10"/>
  <c r="AC7" i="10"/>
  <c r="AC8" i="10"/>
  <c r="AC6" i="10"/>
  <c r="F6" i="10"/>
  <c r="F7" i="10"/>
  <c r="F12" i="10" s="1"/>
  <c r="F8" i="10"/>
  <c r="N6" i="10"/>
  <c r="N7" i="10"/>
  <c r="N12" i="10" s="1"/>
  <c r="N8" i="10"/>
  <c r="V6" i="10"/>
  <c r="V7" i="10"/>
  <c r="V12" i="10" s="1"/>
  <c r="V8" i="10"/>
  <c r="Z6" i="10"/>
  <c r="Z7" i="10"/>
  <c r="Z8" i="10"/>
  <c r="AD6" i="10"/>
  <c r="AD7" i="10"/>
  <c r="AD8" i="10"/>
  <c r="G23" i="4"/>
  <c r="G7" i="6" s="1"/>
  <c r="K23" i="4"/>
  <c r="K7" i="6" s="1"/>
  <c r="O23" i="4"/>
  <c r="O7" i="6" s="1"/>
  <c r="S23" i="4"/>
  <c r="S7" i="6" s="1"/>
  <c r="W23" i="4"/>
  <c r="W7" i="6" s="1"/>
  <c r="AA23" i="4"/>
  <c r="AA7" i="6" s="1"/>
  <c r="AE23" i="4"/>
  <c r="AE7" i="6" s="1"/>
  <c r="G6" i="10"/>
  <c r="G8" i="10"/>
  <c r="G7" i="10"/>
  <c r="G12" i="10" s="1"/>
  <c r="K8" i="10"/>
  <c r="K6" i="10"/>
  <c r="K7" i="10"/>
  <c r="K12" i="10" s="1"/>
  <c r="O6" i="10"/>
  <c r="O7" i="10"/>
  <c r="O12" i="10" s="1"/>
  <c r="O8" i="10"/>
  <c r="S8" i="10"/>
  <c r="S6" i="10"/>
  <c r="S7" i="10"/>
  <c r="S12" i="10" s="1"/>
  <c r="W6" i="10"/>
  <c r="W8" i="10"/>
  <c r="W7" i="10"/>
  <c r="W12" i="10" s="1"/>
  <c r="AA6" i="10"/>
  <c r="AA7" i="10"/>
  <c r="AA8" i="10"/>
  <c r="AE6" i="10"/>
  <c r="AE8" i="10"/>
  <c r="AE7" i="10"/>
  <c r="J6" i="10"/>
  <c r="J7" i="10"/>
  <c r="J12" i="10" s="1"/>
  <c r="J8" i="10"/>
  <c r="R6" i="10"/>
  <c r="R7" i="10"/>
  <c r="R12" i="10" s="1"/>
  <c r="R8" i="10"/>
  <c r="C15" i="4"/>
  <c r="C21" i="4"/>
  <c r="H23" i="4"/>
  <c r="H7" i="6" s="1"/>
  <c r="L23" i="4"/>
  <c r="L7" i="6" s="1"/>
  <c r="P23" i="4"/>
  <c r="P7" i="6" s="1"/>
  <c r="T23" i="4"/>
  <c r="T7" i="6" s="1"/>
  <c r="X23" i="4"/>
  <c r="X7" i="6" s="1"/>
  <c r="AB23" i="4"/>
  <c r="AB7" i="6" s="1"/>
  <c r="AF23" i="4"/>
  <c r="AF7" i="6" s="1"/>
  <c r="C22" i="4"/>
  <c r="H8" i="10"/>
  <c r="H6" i="10"/>
  <c r="H7" i="10"/>
  <c r="H12" i="10" s="1"/>
  <c r="L8" i="10"/>
  <c r="L7" i="10"/>
  <c r="L12" i="10" s="1"/>
  <c r="L6" i="10"/>
  <c r="P8" i="10"/>
  <c r="P7" i="10"/>
  <c r="P12" i="10" s="1"/>
  <c r="P6" i="10"/>
  <c r="T8" i="10"/>
  <c r="T6" i="10"/>
  <c r="T7" i="10"/>
  <c r="T12" i="10" s="1"/>
  <c r="X8" i="10"/>
  <c r="X7" i="10"/>
  <c r="X12" i="10" s="1"/>
  <c r="X6" i="10"/>
  <c r="AB8" i="10"/>
  <c r="AB7" i="10"/>
  <c r="AB6" i="10"/>
  <c r="AF8" i="10"/>
  <c r="AF6" i="10"/>
  <c r="AF7" i="10"/>
  <c r="N54" i="6"/>
  <c r="N55" i="6" s="1"/>
  <c r="V54" i="6"/>
  <c r="V55" i="6" s="1"/>
  <c r="Q54" i="6"/>
  <c r="Q55" i="6" s="1"/>
  <c r="H54" i="6"/>
  <c r="X54" i="6"/>
  <c r="X55" i="6" s="1"/>
  <c r="I54" i="6"/>
  <c r="I55" i="6" s="1"/>
  <c r="U54" i="6"/>
  <c r="U55" i="6" s="1"/>
  <c r="Y54" i="6"/>
  <c r="Y55" i="6" s="1"/>
  <c r="J18" i="2"/>
  <c r="K18" i="2"/>
  <c r="I12" i="4"/>
  <c r="S12" i="4"/>
  <c r="Y12" i="4"/>
  <c r="V17" i="6"/>
  <c r="V47" i="6"/>
  <c r="V31" i="6"/>
  <c r="Q17" i="6"/>
  <c r="Q47" i="6"/>
  <c r="Q31" i="6"/>
  <c r="AB17" i="6"/>
  <c r="AB47" i="6"/>
  <c r="AB31" i="6"/>
  <c r="L17" i="6"/>
  <c r="L47" i="6"/>
  <c r="L31" i="6"/>
  <c r="AA17" i="6"/>
  <c r="AA31" i="6"/>
  <c r="AA47" i="6"/>
  <c r="K17" i="6"/>
  <c r="K31" i="6"/>
  <c r="K47" i="6"/>
  <c r="AE12" i="4"/>
  <c r="AE20" i="4"/>
  <c r="AA12" i="4"/>
  <c r="AA20" i="4"/>
  <c r="X12" i="4"/>
  <c r="X20" i="4"/>
  <c r="T12" i="4"/>
  <c r="T20" i="4"/>
  <c r="M12" i="4"/>
  <c r="M20" i="4"/>
  <c r="F17" i="6"/>
  <c r="F47" i="6"/>
  <c r="F31" i="6"/>
  <c r="R17" i="6"/>
  <c r="R31" i="6"/>
  <c r="R47" i="6"/>
  <c r="AC17" i="6"/>
  <c r="AC31" i="6"/>
  <c r="AC47" i="6"/>
  <c r="M17" i="6"/>
  <c r="M31" i="6"/>
  <c r="M47" i="6"/>
  <c r="X17" i="6"/>
  <c r="X47" i="6"/>
  <c r="X31" i="6"/>
  <c r="H17" i="6"/>
  <c r="H47" i="6"/>
  <c r="H31" i="6"/>
  <c r="W17" i="6"/>
  <c r="W31" i="6"/>
  <c r="W47" i="6"/>
  <c r="G17" i="6"/>
  <c r="G31" i="6"/>
  <c r="G47" i="6"/>
  <c r="AD12" i="4"/>
  <c r="AD20" i="4"/>
  <c r="Z12" i="4"/>
  <c r="Z20" i="4"/>
  <c r="W12" i="4"/>
  <c r="W20" i="4"/>
  <c r="P12" i="4"/>
  <c r="P20" i="4"/>
  <c r="L12" i="4"/>
  <c r="L20" i="4"/>
  <c r="AD17" i="6"/>
  <c r="AD31" i="6"/>
  <c r="AD47" i="6"/>
  <c r="N17" i="6"/>
  <c r="N31" i="6"/>
  <c r="N47" i="6"/>
  <c r="Y17" i="6"/>
  <c r="Y31" i="6"/>
  <c r="Y47" i="6"/>
  <c r="I17" i="6"/>
  <c r="I31" i="6"/>
  <c r="I47" i="6"/>
  <c r="T17" i="6"/>
  <c r="T47" i="6"/>
  <c r="T31" i="6"/>
  <c r="S17" i="6"/>
  <c r="S31" i="6"/>
  <c r="S47" i="6"/>
  <c r="E17" i="6"/>
  <c r="E47" i="6"/>
  <c r="E31" i="6"/>
  <c r="F12" i="4"/>
  <c r="F20" i="4"/>
  <c r="AC12" i="4"/>
  <c r="AC20" i="4"/>
  <c r="V12" i="4"/>
  <c r="V20" i="4"/>
  <c r="R12" i="4"/>
  <c r="R20" i="4"/>
  <c r="O12" i="4"/>
  <c r="O20" i="4"/>
  <c r="K12" i="4"/>
  <c r="K20" i="4"/>
  <c r="H12" i="4"/>
  <c r="H20" i="4"/>
  <c r="E12" i="4"/>
  <c r="E20" i="4"/>
  <c r="Z17" i="6"/>
  <c r="Z47" i="6"/>
  <c r="Z31" i="6"/>
  <c r="J17" i="6"/>
  <c r="J47" i="6"/>
  <c r="J31" i="6"/>
  <c r="U17" i="6"/>
  <c r="U47" i="6"/>
  <c r="U31" i="6"/>
  <c r="AF17" i="6"/>
  <c r="AF47" i="6"/>
  <c r="AF31" i="6"/>
  <c r="P17" i="6"/>
  <c r="P47" i="6"/>
  <c r="P31" i="6"/>
  <c r="AE31" i="6"/>
  <c r="AE47" i="6"/>
  <c r="O17" i="6"/>
  <c r="O31" i="6"/>
  <c r="O47" i="6"/>
  <c r="AF12" i="4"/>
  <c r="AF20" i="4"/>
  <c r="AB12" i="4"/>
  <c r="AB20" i="4"/>
  <c r="U12" i="4"/>
  <c r="U20" i="4"/>
  <c r="Q12" i="4"/>
  <c r="N12" i="4"/>
  <c r="N20" i="4"/>
  <c r="J12" i="4"/>
  <c r="J20" i="4"/>
  <c r="G12" i="4"/>
  <c r="G20" i="4"/>
  <c r="D12" i="2"/>
  <c r="C49" i="6"/>
  <c r="H50" i="6"/>
  <c r="C7" i="4"/>
  <c r="I142" i="1"/>
  <c r="I139" i="1"/>
  <c r="I102" i="1"/>
  <c r="I107" i="1"/>
  <c r="I108" i="1"/>
  <c r="I106" i="1"/>
  <c r="I103" i="1"/>
  <c r="I143" i="1"/>
  <c r="I144" i="1"/>
  <c r="I140" i="1"/>
  <c r="I141" i="1"/>
  <c r="I104" i="1"/>
  <c r="G82" i="1"/>
  <c r="E84" i="1"/>
  <c r="J54" i="6"/>
  <c r="J55" i="6" s="1"/>
  <c r="R54" i="6"/>
  <c r="R55" i="6" s="1"/>
  <c r="Z54" i="6"/>
  <c r="Z55" i="6" s="1"/>
  <c r="L54" i="6"/>
  <c r="L55" i="6" s="1"/>
  <c r="K54" i="6"/>
  <c r="K55" i="6" s="1"/>
  <c r="O54" i="6"/>
  <c r="O55" i="6" s="1"/>
  <c r="S54" i="6"/>
  <c r="S55" i="6" s="1"/>
  <c r="W54" i="6"/>
  <c r="W55" i="6" s="1"/>
  <c r="AA54" i="6"/>
  <c r="AA55" i="6" s="1"/>
  <c r="AE54" i="6"/>
  <c r="AE55" i="6" s="1"/>
  <c r="M54" i="6"/>
  <c r="M55" i="6" s="1"/>
  <c r="AC54" i="6"/>
  <c r="AC55" i="6" s="1"/>
  <c r="AD54" i="6"/>
  <c r="AD55" i="6" s="1"/>
  <c r="P54" i="6"/>
  <c r="P55" i="6" s="1"/>
  <c r="T54" i="6"/>
  <c r="T55" i="6" s="1"/>
  <c r="AB54" i="6"/>
  <c r="AB55" i="6" s="1"/>
  <c r="AF54" i="6"/>
  <c r="AF55" i="6" s="1"/>
  <c r="G5" i="9"/>
  <c r="D23" i="4"/>
  <c r="D7" i="6" s="1"/>
  <c r="C5" i="2"/>
  <c r="F23" i="4"/>
  <c r="F7" i="6" s="1"/>
  <c r="J23" i="4"/>
  <c r="J7" i="6" s="1"/>
  <c r="N23" i="4"/>
  <c r="N7" i="6" s="1"/>
  <c r="R23" i="4"/>
  <c r="R7" i="6" s="1"/>
  <c r="V23" i="4"/>
  <c r="V7" i="6" s="1"/>
  <c r="Z23" i="4"/>
  <c r="Z7" i="6" s="1"/>
  <c r="AD23" i="4"/>
  <c r="AD7" i="6" s="1"/>
  <c r="C5" i="10"/>
  <c r="C20" i="32" l="1"/>
  <c r="F84" i="1"/>
  <c r="D13" i="49"/>
  <c r="D13" i="10"/>
  <c r="D14" i="10" s="1"/>
  <c r="D7" i="19" s="1"/>
  <c r="H82" i="1"/>
  <c r="G11" i="10" s="1"/>
  <c r="F11" i="49"/>
  <c r="F11" i="10"/>
  <c r="AA83" i="1"/>
  <c r="Y12" i="49"/>
  <c r="E13" i="10"/>
  <c r="C18" i="35"/>
  <c r="U7" i="6"/>
  <c r="U33" i="6" s="1"/>
  <c r="U34" i="6" s="1"/>
  <c r="Y7" i="6"/>
  <c r="Y33" i="6" s="1"/>
  <c r="Y34" i="6" s="1"/>
  <c r="AC21" i="6"/>
  <c r="AC23" i="6" s="1"/>
  <c r="AC7" i="6"/>
  <c r="AC33" i="6" s="1"/>
  <c r="AC34" i="6" s="1"/>
  <c r="E7" i="6"/>
  <c r="E33" i="6" s="1"/>
  <c r="Q21" i="6"/>
  <c r="Q23" i="6" s="1"/>
  <c r="Q7" i="6"/>
  <c r="Q33" i="6" s="1"/>
  <c r="Q34" i="6" s="1"/>
  <c r="M7" i="6"/>
  <c r="M33" i="6" s="1"/>
  <c r="M34" i="6" s="1"/>
  <c r="I7" i="6"/>
  <c r="I33" i="6" s="1"/>
  <c r="I34" i="6" s="1"/>
  <c r="Y21" i="6"/>
  <c r="Y23" i="6" s="1"/>
  <c r="E21" i="6"/>
  <c r="C29" i="32"/>
  <c r="U21" i="6"/>
  <c r="U23" i="6" s="1"/>
  <c r="M21" i="6"/>
  <c r="M23" i="6" s="1"/>
  <c r="H21" i="6"/>
  <c r="H23" i="6" s="1"/>
  <c r="G51" i="36"/>
  <c r="G54" i="36" s="1"/>
  <c r="G9" i="36"/>
  <c r="G32" i="36"/>
  <c r="G48" i="36"/>
  <c r="D32" i="36"/>
  <c r="D48" i="36"/>
  <c r="I10" i="32"/>
  <c r="F13" i="2"/>
  <c r="F14" i="2" s="1"/>
  <c r="F16" i="2"/>
  <c r="F17" i="2" s="1"/>
  <c r="C5" i="36"/>
  <c r="D3" i="35" s="1"/>
  <c r="F51" i="36"/>
  <c r="F54" i="36" s="1"/>
  <c r="F9" i="36"/>
  <c r="G35" i="36"/>
  <c r="G38" i="36" s="1"/>
  <c r="F48" i="36"/>
  <c r="F32" i="36"/>
  <c r="E16" i="2"/>
  <c r="E17" i="2" s="1"/>
  <c r="E13" i="2"/>
  <c r="E14" i="2" s="1"/>
  <c r="D16" i="2"/>
  <c r="D17" i="2" s="1"/>
  <c r="D13" i="2"/>
  <c r="E51" i="36"/>
  <c r="E54" i="36" s="1"/>
  <c r="E9" i="36"/>
  <c r="G16" i="2"/>
  <c r="G17" i="2" s="1"/>
  <c r="G13" i="2"/>
  <c r="G14" i="2" s="1"/>
  <c r="E48" i="36"/>
  <c r="E32" i="36"/>
  <c r="D9" i="36"/>
  <c r="D35" i="36"/>
  <c r="D51" i="36"/>
  <c r="I4" i="32"/>
  <c r="AD33" i="6"/>
  <c r="AD34" i="6" s="1"/>
  <c r="AD21" i="6"/>
  <c r="AD23" i="6" s="1"/>
  <c r="N33" i="6"/>
  <c r="N34" i="6" s="1"/>
  <c r="N21" i="6"/>
  <c r="N23" i="6" s="1"/>
  <c r="G21" i="6"/>
  <c r="G33" i="6"/>
  <c r="Z33" i="6"/>
  <c r="Z34" i="6" s="1"/>
  <c r="Z21" i="6"/>
  <c r="Z23" i="6" s="1"/>
  <c r="T21" i="6"/>
  <c r="T23" i="6" s="1"/>
  <c r="T33" i="6"/>
  <c r="T34" i="6" s="1"/>
  <c r="F21" i="6"/>
  <c r="F33" i="6"/>
  <c r="AF21" i="6"/>
  <c r="AF23" i="6" s="1"/>
  <c r="AF33" i="6"/>
  <c r="AF34" i="6" s="1"/>
  <c r="P21" i="6"/>
  <c r="P23" i="6" s="1"/>
  <c r="P33" i="6"/>
  <c r="P34" i="6" s="1"/>
  <c r="AE21" i="6"/>
  <c r="AE23" i="6" s="1"/>
  <c r="AE33" i="6"/>
  <c r="AE34" i="6" s="1"/>
  <c r="O21" i="6"/>
  <c r="O23" i="6" s="1"/>
  <c r="O33" i="6"/>
  <c r="O34" i="6" s="1"/>
  <c r="X21" i="6"/>
  <c r="X23" i="6" s="1"/>
  <c r="X33" i="6"/>
  <c r="X34" i="6" s="1"/>
  <c r="W21" i="6"/>
  <c r="W23" i="6" s="1"/>
  <c r="W33" i="6"/>
  <c r="W34" i="6" s="1"/>
  <c r="J33" i="6"/>
  <c r="J34" i="6" s="1"/>
  <c r="J21" i="6"/>
  <c r="J23" i="6" s="1"/>
  <c r="S33" i="6"/>
  <c r="S34" i="6" s="1"/>
  <c r="S21" i="6"/>
  <c r="S23" i="6" s="1"/>
  <c r="V33" i="6"/>
  <c r="V34" i="6" s="1"/>
  <c r="V21" i="6"/>
  <c r="V23" i="6" s="1"/>
  <c r="D21" i="6"/>
  <c r="R33" i="6"/>
  <c r="R34" i="6" s="1"/>
  <c r="R21" i="6"/>
  <c r="R23" i="6" s="1"/>
  <c r="AB21" i="6"/>
  <c r="AB23" i="6" s="1"/>
  <c r="AB33" i="6"/>
  <c r="AB34" i="6" s="1"/>
  <c r="L21" i="6"/>
  <c r="L23" i="6" s="1"/>
  <c r="L33" i="6"/>
  <c r="L34" i="6" s="1"/>
  <c r="AA21" i="6"/>
  <c r="AA23" i="6" s="1"/>
  <c r="AA33" i="6"/>
  <c r="AA34" i="6" s="1"/>
  <c r="K21" i="6"/>
  <c r="K23" i="6" s="1"/>
  <c r="K33" i="6"/>
  <c r="K34" i="6" s="1"/>
  <c r="H55" i="6"/>
  <c r="C5" i="6"/>
  <c r="E51" i="6"/>
  <c r="E54" i="6" s="1"/>
  <c r="E35" i="6"/>
  <c r="H33" i="6"/>
  <c r="H34" i="6" s="1"/>
  <c r="D48" i="6"/>
  <c r="D32" i="6"/>
  <c r="D51" i="6"/>
  <c r="D35" i="6"/>
  <c r="C52" i="6"/>
  <c r="J141" i="1"/>
  <c r="J143" i="1"/>
  <c r="J106" i="1"/>
  <c r="J108" i="1"/>
  <c r="J107" i="1"/>
  <c r="J144" i="1"/>
  <c r="J102" i="1"/>
  <c r="J104" i="1"/>
  <c r="J140" i="1"/>
  <c r="J103" i="1"/>
  <c r="J142" i="1"/>
  <c r="J139" i="1"/>
  <c r="C29" i="2"/>
  <c r="C8" i="10"/>
  <c r="C7" i="10"/>
  <c r="C6" i="10"/>
  <c r="H7" i="9"/>
  <c r="I7" i="9"/>
  <c r="D14" i="2"/>
  <c r="C23" i="4"/>
  <c r="C5" i="7" s="1"/>
  <c r="C10" i="2"/>
  <c r="AG9" i="52" l="1"/>
  <c r="C9" i="52" s="1"/>
  <c r="D18" i="2"/>
  <c r="G84" i="1"/>
  <c r="E13" i="49"/>
  <c r="E14" i="49" s="1"/>
  <c r="E7" i="52" s="1"/>
  <c r="E10" i="52" s="1"/>
  <c r="AB83" i="1"/>
  <c r="Z12" i="49"/>
  <c r="I82" i="1"/>
  <c r="G11" i="49"/>
  <c r="Z12" i="10"/>
  <c r="D14" i="49"/>
  <c r="P9" i="6"/>
  <c r="S9" i="6"/>
  <c r="F36" i="6"/>
  <c r="X9" i="6"/>
  <c r="W36" i="6"/>
  <c r="W38" i="6" s="1"/>
  <c r="W39" i="6" s="1"/>
  <c r="AA9" i="6"/>
  <c r="AD36" i="6"/>
  <c r="AD38" i="6" s="1"/>
  <c r="AD39" i="6" s="1"/>
  <c r="AC9" i="6"/>
  <c r="AF9" i="6"/>
  <c r="Q36" i="6"/>
  <c r="Q38" i="6" s="1"/>
  <c r="Q39" i="6" s="1"/>
  <c r="Y36" i="6"/>
  <c r="Y38" i="6" s="1"/>
  <c r="Y39" i="6" s="1"/>
  <c r="AE9" i="6"/>
  <c r="M36" i="6"/>
  <c r="M38" i="6" s="1"/>
  <c r="M39" i="6" s="1"/>
  <c r="H36" i="6"/>
  <c r="H38" i="6" s="1"/>
  <c r="H39" i="6" s="1"/>
  <c r="G9" i="6"/>
  <c r="K36" i="6"/>
  <c r="K38" i="6" s="1"/>
  <c r="K39" i="6" s="1"/>
  <c r="E18" i="2"/>
  <c r="E22" i="7"/>
  <c r="E18" i="6" s="1"/>
  <c r="E23" i="6" s="1"/>
  <c r="C21" i="6"/>
  <c r="D33" i="6"/>
  <c r="C33" i="6" s="1"/>
  <c r="C7" i="6"/>
  <c r="D5" i="7" s="1"/>
  <c r="H11" i="32"/>
  <c r="AG8" i="36" s="1"/>
  <c r="C13" i="2"/>
  <c r="C17" i="2"/>
  <c r="I11" i="32"/>
  <c r="AG9" i="19" s="1"/>
  <c r="D54" i="36"/>
  <c r="C54" i="36" s="1"/>
  <c r="C51" i="36"/>
  <c r="C3" i="35"/>
  <c r="D34" i="36"/>
  <c r="D38" i="36"/>
  <c r="C38" i="36" s="1"/>
  <c r="C35" i="36"/>
  <c r="E50" i="36"/>
  <c r="E55" i="36" s="1"/>
  <c r="E34" i="36"/>
  <c r="E39" i="36" s="1"/>
  <c r="D50" i="36"/>
  <c r="C12" i="2"/>
  <c r="Q9" i="6"/>
  <c r="C6" i="52"/>
  <c r="P36" i="6"/>
  <c r="P38" i="6" s="1"/>
  <c r="P39" i="6" s="1"/>
  <c r="S36" i="6"/>
  <c r="S38" i="6" s="1"/>
  <c r="S39" i="6" s="1"/>
  <c r="F51" i="6"/>
  <c r="F54" i="6" s="1"/>
  <c r="F35" i="6"/>
  <c r="G18" i="2"/>
  <c r="G22" i="7"/>
  <c r="G18" i="6" s="1"/>
  <c r="G23" i="6" s="1"/>
  <c r="G51" i="6"/>
  <c r="G54" i="6" s="1"/>
  <c r="G35" i="6"/>
  <c r="E48" i="6"/>
  <c r="E50" i="6" s="1"/>
  <c r="E55" i="6" s="1"/>
  <c r="E32" i="6"/>
  <c r="E34" i="6" s="1"/>
  <c r="D54" i="6"/>
  <c r="D50" i="6"/>
  <c r="K139" i="1"/>
  <c r="K103" i="1"/>
  <c r="K144" i="1"/>
  <c r="K107" i="1"/>
  <c r="K143" i="1"/>
  <c r="K108" i="1"/>
  <c r="K140" i="1"/>
  <c r="K142" i="1"/>
  <c r="K104" i="1"/>
  <c r="K102" i="1"/>
  <c r="K106" i="1"/>
  <c r="K141" i="1"/>
  <c r="E14" i="10"/>
  <c r="E7" i="19" s="1"/>
  <c r="C16" i="2"/>
  <c r="C4" i="35" l="1"/>
  <c r="AG9" i="36"/>
  <c r="C8" i="36"/>
  <c r="D4" i="35" s="1"/>
  <c r="D7" i="35" s="1"/>
  <c r="AG22" i="36"/>
  <c r="AD9" i="6"/>
  <c r="AC83" i="1"/>
  <c r="AA12" i="49"/>
  <c r="AA12" i="10"/>
  <c r="H84" i="1"/>
  <c r="F13" i="49"/>
  <c r="F13" i="10"/>
  <c r="D7" i="52"/>
  <c r="J82" i="1"/>
  <c r="H11" i="49"/>
  <c r="H11" i="10"/>
  <c r="G36" i="6"/>
  <c r="G38" i="6" s="1"/>
  <c r="D34" i="6"/>
  <c r="D10" i="52"/>
  <c r="Y9" i="6"/>
  <c r="AC36" i="6"/>
  <c r="AC38" i="6" s="1"/>
  <c r="AC39" i="6" s="1"/>
  <c r="AE36" i="6"/>
  <c r="AE38" i="6" s="1"/>
  <c r="AE39" i="6" s="1"/>
  <c r="M9" i="6"/>
  <c r="C6" i="6"/>
  <c r="C19" i="6"/>
  <c r="W9" i="6"/>
  <c r="D55" i="36"/>
  <c r="C14" i="2"/>
  <c r="D39" i="36"/>
  <c r="C12" i="35"/>
  <c r="G34" i="36"/>
  <c r="G39" i="36" s="1"/>
  <c r="G50" i="36"/>
  <c r="G55" i="36" s="1"/>
  <c r="D3" i="7"/>
  <c r="D8" i="35"/>
  <c r="D9" i="35" s="1"/>
  <c r="X36" i="6"/>
  <c r="X38" i="6" s="1"/>
  <c r="X39" i="6" s="1"/>
  <c r="K9" i="6"/>
  <c r="AA36" i="6"/>
  <c r="AA38" i="6" s="1"/>
  <c r="AA39" i="6" s="1"/>
  <c r="H9" i="6"/>
  <c r="AF36" i="6"/>
  <c r="AF38" i="6" s="1"/>
  <c r="AF39" i="6" s="1"/>
  <c r="F38" i="6"/>
  <c r="F9" i="6"/>
  <c r="L9" i="6"/>
  <c r="L36" i="6"/>
  <c r="L38" i="6" s="1"/>
  <c r="L39" i="6" s="1"/>
  <c r="I9" i="6"/>
  <c r="I36" i="6"/>
  <c r="I38" i="6" s="1"/>
  <c r="I39" i="6" s="1"/>
  <c r="AB9" i="6"/>
  <c r="AB36" i="6"/>
  <c r="AB38" i="6" s="1"/>
  <c r="AB39" i="6" s="1"/>
  <c r="J9" i="6"/>
  <c r="J36" i="6"/>
  <c r="J38" i="6" s="1"/>
  <c r="J39" i="6" s="1"/>
  <c r="R9" i="6"/>
  <c r="R36" i="6"/>
  <c r="R38" i="6" s="1"/>
  <c r="R39" i="6" s="1"/>
  <c r="T9" i="6"/>
  <c r="T36" i="6"/>
  <c r="T38" i="6" s="1"/>
  <c r="T39" i="6" s="1"/>
  <c r="D36" i="6"/>
  <c r="D38" i="6" s="1"/>
  <c r="D9" i="6"/>
  <c r="U9" i="6"/>
  <c r="U36" i="6"/>
  <c r="U38" i="6" s="1"/>
  <c r="U39" i="6" s="1"/>
  <c r="O9" i="6"/>
  <c r="O36" i="6"/>
  <c r="O38" i="6" s="1"/>
  <c r="O39" i="6" s="1"/>
  <c r="Z9" i="6"/>
  <c r="Z36" i="6"/>
  <c r="Z38" i="6" s="1"/>
  <c r="Z39" i="6" s="1"/>
  <c r="E36" i="6"/>
  <c r="E38" i="6" s="1"/>
  <c r="E39" i="6" s="1"/>
  <c r="E9" i="6"/>
  <c r="V9" i="6"/>
  <c r="V36" i="6"/>
  <c r="V38" i="6" s="1"/>
  <c r="V39" i="6" s="1"/>
  <c r="N9" i="6"/>
  <c r="N36" i="6"/>
  <c r="N38" i="6" s="1"/>
  <c r="N39" i="6" s="1"/>
  <c r="C35" i="6"/>
  <c r="C51" i="6"/>
  <c r="F18" i="2"/>
  <c r="C18" i="2" s="1"/>
  <c r="F22" i="7"/>
  <c r="F18" i="6" s="1"/>
  <c r="F23" i="6" s="1"/>
  <c r="C54" i="6"/>
  <c r="G32" i="6"/>
  <c r="G34" i="6" s="1"/>
  <c r="G48" i="6"/>
  <c r="G50" i="6" s="1"/>
  <c r="G55" i="6" s="1"/>
  <c r="D55" i="6"/>
  <c r="D56" i="6" s="1"/>
  <c r="D57" i="6" s="1"/>
  <c r="L104" i="1"/>
  <c r="L140" i="1"/>
  <c r="L143" i="1"/>
  <c r="L103" i="1"/>
  <c r="L141" i="1"/>
  <c r="L144" i="1"/>
  <c r="L102" i="1"/>
  <c r="L142" i="1"/>
  <c r="L108" i="1"/>
  <c r="L139" i="1"/>
  <c r="L106" i="1"/>
  <c r="L107" i="1"/>
  <c r="E10" i="19"/>
  <c r="C11" i="6" l="1"/>
  <c r="AG23" i="36"/>
  <c r="C26" i="36" s="1"/>
  <c r="C22" i="36"/>
  <c r="C12" i="36"/>
  <c r="P21" i="68" s="1"/>
  <c r="O45" i="68" s="1"/>
  <c r="C9" i="36"/>
  <c r="C11" i="36"/>
  <c r="F14" i="10"/>
  <c r="F14" i="49"/>
  <c r="K82" i="1"/>
  <c r="I11" i="49"/>
  <c r="I11" i="10"/>
  <c r="I84" i="1"/>
  <c r="G13" i="49"/>
  <c r="G14" i="49" s="1"/>
  <c r="G7" i="52" s="1"/>
  <c r="G10" i="52" s="1"/>
  <c r="G13" i="10"/>
  <c r="G14" i="10" s="1"/>
  <c r="G7" i="19" s="1"/>
  <c r="G10" i="19" s="1"/>
  <c r="D39" i="6"/>
  <c r="D40" i="6" s="1"/>
  <c r="D41" i="6" s="1"/>
  <c r="AD83" i="1"/>
  <c r="AB12" i="49"/>
  <c r="AB12" i="10"/>
  <c r="C12" i="6"/>
  <c r="C9" i="6"/>
  <c r="E20" i="35"/>
  <c r="F20" i="35"/>
  <c r="G20" i="35"/>
  <c r="O20" i="35"/>
  <c r="W20" i="35"/>
  <c r="AE20" i="35"/>
  <c r="R20" i="35"/>
  <c r="AC20" i="35"/>
  <c r="H20" i="35"/>
  <c r="P20" i="35"/>
  <c r="X20" i="35"/>
  <c r="AF20" i="35"/>
  <c r="AB20" i="35"/>
  <c r="N20" i="35"/>
  <c r="I20" i="35"/>
  <c r="Q20" i="35"/>
  <c r="Y20" i="35"/>
  <c r="AG20" i="35"/>
  <c r="Z20" i="35"/>
  <c r="M20" i="35"/>
  <c r="V20" i="35"/>
  <c r="J20" i="35"/>
  <c r="K20" i="35"/>
  <c r="S20" i="35"/>
  <c r="AA20" i="35"/>
  <c r="T20" i="35"/>
  <c r="U20" i="35"/>
  <c r="AD20" i="35"/>
  <c r="L20" i="35"/>
  <c r="D40" i="36"/>
  <c r="D41" i="36" s="1"/>
  <c r="D56" i="36"/>
  <c r="D57" i="36" s="1"/>
  <c r="D20" i="35"/>
  <c r="C36" i="6"/>
  <c r="D6" i="7"/>
  <c r="D7" i="7" s="1"/>
  <c r="D8" i="7" s="1"/>
  <c r="D9" i="7" s="1"/>
  <c r="G39" i="6"/>
  <c r="F32" i="6"/>
  <c r="F48" i="6"/>
  <c r="C19" i="7"/>
  <c r="D58" i="6"/>
  <c r="E56" i="6"/>
  <c r="E57" i="6" s="1"/>
  <c r="D42" i="6"/>
  <c r="E40" i="6"/>
  <c r="E41" i="6" s="1"/>
  <c r="C38" i="6"/>
  <c r="M106" i="1"/>
  <c r="M108" i="1"/>
  <c r="M144" i="1"/>
  <c r="M103" i="1"/>
  <c r="M142" i="1"/>
  <c r="M141" i="1"/>
  <c r="M140" i="1"/>
  <c r="M139" i="1"/>
  <c r="M107" i="1"/>
  <c r="M102" i="1"/>
  <c r="M143" i="1"/>
  <c r="M104" i="1"/>
  <c r="O21" i="68" l="1"/>
  <c r="N45" i="68" s="1"/>
  <c r="D12" i="66"/>
  <c r="D11" i="66"/>
  <c r="D14" i="66"/>
  <c r="D13" i="66"/>
  <c r="AE83" i="1"/>
  <c r="AC12" i="49"/>
  <c r="AC12" i="10"/>
  <c r="L82" i="1"/>
  <c r="J11" i="49"/>
  <c r="J11" i="10"/>
  <c r="F7" i="19"/>
  <c r="J84" i="1"/>
  <c r="H13" i="49"/>
  <c r="H14" i="49" s="1"/>
  <c r="H7" i="52" s="1"/>
  <c r="H10" i="52" s="1"/>
  <c r="H13" i="10"/>
  <c r="H14" i="10" s="1"/>
  <c r="H7" i="19" s="1"/>
  <c r="H10" i="19" s="1"/>
  <c r="F7" i="52"/>
  <c r="C20" i="35"/>
  <c r="C21" i="35"/>
  <c r="E40" i="36"/>
  <c r="E41" i="36" s="1"/>
  <c r="D42" i="36"/>
  <c r="F34" i="36"/>
  <c r="C32" i="36"/>
  <c r="D58" i="36"/>
  <c r="E56" i="36"/>
  <c r="E57" i="36" s="1"/>
  <c r="F50" i="36"/>
  <c r="C48" i="36"/>
  <c r="F50" i="6"/>
  <c r="C48" i="6"/>
  <c r="F34" i="6"/>
  <c r="C32" i="6"/>
  <c r="D22" i="7"/>
  <c r="D18" i="6" s="1"/>
  <c r="D23" i="6" s="1"/>
  <c r="E58" i="6"/>
  <c r="E42" i="6"/>
  <c r="N107" i="1"/>
  <c r="N140" i="1"/>
  <c r="N106" i="1"/>
  <c r="N143" i="1"/>
  <c r="N102" i="1"/>
  <c r="N139" i="1"/>
  <c r="N103" i="1"/>
  <c r="N141" i="1"/>
  <c r="N142" i="1"/>
  <c r="N108" i="1"/>
  <c r="N104" i="1"/>
  <c r="N144" i="1"/>
  <c r="D10" i="19"/>
  <c r="D114" i="66" l="1"/>
  <c r="D64" i="66"/>
  <c r="D23" i="66"/>
  <c r="C23" i="66"/>
  <c r="F23" i="66" s="1"/>
  <c r="E23" i="66"/>
  <c r="G23" i="66" s="1"/>
  <c r="D24" i="66"/>
  <c r="C24" i="66"/>
  <c r="F24" i="66" s="1"/>
  <c r="D65" i="66"/>
  <c r="D115" i="66"/>
  <c r="E24" i="66"/>
  <c r="G24" i="66" s="1"/>
  <c r="D62" i="66"/>
  <c r="C21" i="66"/>
  <c r="F21" i="66" s="1"/>
  <c r="D112" i="66"/>
  <c r="E21" i="66"/>
  <c r="G21" i="66" s="1"/>
  <c r="D21" i="66"/>
  <c r="D22" i="66"/>
  <c r="C22" i="66"/>
  <c r="F22" i="66" s="1"/>
  <c r="E22" i="66"/>
  <c r="G22" i="66" s="1"/>
  <c r="D113" i="66"/>
  <c r="D63" i="66"/>
  <c r="K84" i="1"/>
  <c r="I13" i="49"/>
  <c r="I14" i="49" s="1"/>
  <c r="I7" i="52" s="1"/>
  <c r="I10" i="52" s="1"/>
  <c r="I13" i="10"/>
  <c r="M82" i="1"/>
  <c r="K11" i="49"/>
  <c r="K11" i="10"/>
  <c r="F10" i="19"/>
  <c r="AF83" i="1"/>
  <c r="AD12" i="49"/>
  <c r="AD12" i="10"/>
  <c r="F10" i="52"/>
  <c r="E58" i="36"/>
  <c r="E42" i="36"/>
  <c r="F55" i="36"/>
  <c r="C55" i="36" s="1"/>
  <c r="C50" i="36"/>
  <c r="F39" i="36"/>
  <c r="C39" i="36" s="1"/>
  <c r="C34" i="36"/>
  <c r="F39" i="6"/>
  <c r="C34" i="6"/>
  <c r="F55" i="6"/>
  <c r="C50" i="6"/>
  <c r="C21" i="7"/>
  <c r="C22" i="7"/>
  <c r="O108" i="1"/>
  <c r="O103" i="1"/>
  <c r="O102" i="1"/>
  <c r="O106" i="1"/>
  <c r="O107" i="1"/>
  <c r="O141" i="1"/>
  <c r="O140" i="1"/>
  <c r="O104" i="1"/>
  <c r="O142" i="1"/>
  <c r="O139" i="1"/>
  <c r="O143" i="1"/>
  <c r="O144" i="1"/>
  <c r="E75" i="66" l="1"/>
  <c r="G75" i="66" s="1"/>
  <c r="D75" i="66"/>
  <c r="C75" i="66"/>
  <c r="F75" i="66" s="1"/>
  <c r="E122" i="66"/>
  <c r="G122" i="66" s="1"/>
  <c r="D122" i="66"/>
  <c r="C122" i="66"/>
  <c r="F122" i="66" s="1"/>
  <c r="D73" i="66"/>
  <c r="C73" i="66"/>
  <c r="F73" i="66" s="1"/>
  <c r="E73" i="66"/>
  <c r="G73" i="66" s="1"/>
  <c r="D123" i="66"/>
  <c r="E123" i="66"/>
  <c r="G123" i="66" s="1"/>
  <c r="C123" i="66"/>
  <c r="F123" i="66" s="1"/>
  <c r="E72" i="66"/>
  <c r="G72" i="66" s="1"/>
  <c r="C72" i="66"/>
  <c r="F72" i="66" s="1"/>
  <c r="D72" i="66"/>
  <c r="C74" i="66"/>
  <c r="F74" i="66" s="1"/>
  <c r="E74" i="66"/>
  <c r="G74" i="66" s="1"/>
  <c r="D74" i="66"/>
  <c r="C125" i="66"/>
  <c r="F125" i="66" s="1"/>
  <c r="E125" i="66"/>
  <c r="G125" i="66" s="1"/>
  <c r="D125" i="66"/>
  <c r="E124" i="66"/>
  <c r="G124" i="66" s="1"/>
  <c r="C124" i="66"/>
  <c r="F124" i="66" s="1"/>
  <c r="D124" i="66"/>
  <c r="AG83" i="1"/>
  <c r="AE12" i="49"/>
  <c r="AE12" i="10"/>
  <c r="N82" i="1"/>
  <c r="L11" i="49"/>
  <c r="L11" i="10"/>
  <c r="I14" i="10"/>
  <c r="L84" i="1"/>
  <c r="J13" i="49"/>
  <c r="J14" i="49" s="1"/>
  <c r="J13" i="10"/>
  <c r="J14" i="10" s="1"/>
  <c r="J7" i="19" s="1"/>
  <c r="J10" i="19" s="1"/>
  <c r="C25" i="36"/>
  <c r="C18" i="6"/>
  <c r="C23" i="36"/>
  <c r="F56" i="36"/>
  <c r="F40" i="36"/>
  <c r="F41" i="36" s="1"/>
  <c r="F40" i="6"/>
  <c r="F41" i="6" s="1"/>
  <c r="C39" i="6"/>
  <c r="C55" i="6"/>
  <c r="F56" i="6"/>
  <c r="F57" i="6" s="1"/>
  <c r="C25" i="6"/>
  <c r="P141" i="1"/>
  <c r="P142" i="1"/>
  <c r="P107" i="1"/>
  <c r="P102" i="1"/>
  <c r="P103" i="1"/>
  <c r="P144" i="1"/>
  <c r="P143" i="1"/>
  <c r="P139" i="1"/>
  <c r="P104" i="1"/>
  <c r="P140" i="1"/>
  <c r="P106" i="1"/>
  <c r="P108" i="1"/>
  <c r="O82" i="1" l="1"/>
  <c r="M11" i="49"/>
  <c r="M11" i="10"/>
  <c r="J7" i="52"/>
  <c r="M84" i="1"/>
  <c r="K13" i="49"/>
  <c r="K14" i="49" s="1"/>
  <c r="K7" i="52" s="1"/>
  <c r="K10" i="52" s="1"/>
  <c r="K13" i="10"/>
  <c r="K14" i="10" s="1"/>
  <c r="K7" i="19" s="1"/>
  <c r="K10" i="19" s="1"/>
  <c r="AH83" i="1"/>
  <c r="AF12" i="49"/>
  <c r="AF12" i="10"/>
  <c r="I7" i="19"/>
  <c r="C23" i="6"/>
  <c r="G56" i="36"/>
  <c r="G57" i="36" s="1"/>
  <c r="F57" i="36"/>
  <c r="F58" i="36" s="1"/>
  <c r="F42" i="36"/>
  <c r="G40" i="36"/>
  <c r="G41" i="36" s="1"/>
  <c r="F42" i="6"/>
  <c r="G40" i="6"/>
  <c r="G41" i="6" s="1"/>
  <c r="F58" i="6"/>
  <c r="G56" i="6"/>
  <c r="G57" i="6" s="1"/>
  <c r="C26" i="6"/>
  <c r="Q106" i="1"/>
  <c r="Q107" i="1"/>
  <c r="Q140" i="1"/>
  <c r="Q139" i="1"/>
  <c r="Q144" i="1"/>
  <c r="Q102" i="1"/>
  <c r="Q142" i="1"/>
  <c r="Q141" i="1"/>
  <c r="Q108" i="1"/>
  <c r="Q104" i="1"/>
  <c r="Q143" i="1"/>
  <c r="Q103" i="1"/>
  <c r="J10" i="52" l="1"/>
  <c r="AI83" i="1"/>
  <c r="AJ83" i="1" s="1"/>
  <c r="AK83" i="1" s="1"/>
  <c r="AL83" i="1" s="1"/>
  <c r="AM83" i="1" s="1"/>
  <c r="AN83" i="1" s="1"/>
  <c r="AO83" i="1" s="1"/>
  <c r="AP83" i="1" s="1"/>
  <c r="AQ83" i="1" s="1"/>
  <c r="AR83" i="1" s="1"/>
  <c r="AG12" i="49"/>
  <c r="C12" i="49" s="1"/>
  <c r="AG12" i="10"/>
  <c r="C12" i="10" s="1"/>
  <c r="P82" i="1"/>
  <c r="N11" i="49"/>
  <c r="N11" i="10"/>
  <c r="H56" i="36"/>
  <c r="H57" i="36" s="1"/>
  <c r="N84" i="1"/>
  <c r="L13" i="49"/>
  <c r="L14" i="49" s="1"/>
  <c r="L7" i="52" s="1"/>
  <c r="L10" i="52" s="1"/>
  <c r="L13" i="10"/>
  <c r="I10" i="19"/>
  <c r="G58" i="36"/>
  <c r="H40" i="36"/>
  <c r="H41" i="36" s="1"/>
  <c r="G42" i="36"/>
  <c r="G42" i="6"/>
  <c r="H40" i="6"/>
  <c r="H41" i="6" s="1"/>
  <c r="G58" i="6"/>
  <c r="H56" i="6"/>
  <c r="H57" i="6" s="1"/>
  <c r="R108" i="1"/>
  <c r="R141" i="1"/>
  <c r="R139" i="1"/>
  <c r="R140" i="1"/>
  <c r="R107" i="1"/>
  <c r="R143" i="1"/>
  <c r="R103" i="1"/>
  <c r="R104" i="1"/>
  <c r="R142" i="1"/>
  <c r="R102" i="1"/>
  <c r="R144" i="1"/>
  <c r="R106" i="1"/>
  <c r="I56" i="36" l="1"/>
  <c r="I57" i="36" s="1"/>
  <c r="I58" i="36" s="1"/>
  <c r="O84" i="1"/>
  <c r="M13" i="49"/>
  <c r="M14" i="49" s="1"/>
  <c r="M7" i="52" s="1"/>
  <c r="M10" i="52" s="1"/>
  <c r="M13" i="10"/>
  <c r="M14" i="10" s="1"/>
  <c r="M7" i="19" s="1"/>
  <c r="M10" i="19" s="1"/>
  <c r="H58" i="36"/>
  <c r="L14" i="10"/>
  <c r="Q82" i="1"/>
  <c r="O11" i="49"/>
  <c r="O11" i="10"/>
  <c r="I40" i="36"/>
  <c r="I41" i="36" s="1"/>
  <c r="H42" i="36"/>
  <c r="H42" i="6"/>
  <c r="I40" i="6"/>
  <c r="I41" i="6" s="1"/>
  <c r="H58" i="6"/>
  <c r="I56" i="6"/>
  <c r="I57" i="6" s="1"/>
  <c r="S106" i="1"/>
  <c r="S144" i="1"/>
  <c r="S104" i="1"/>
  <c r="S141" i="1"/>
  <c r="S142" i="1"/>
  <c r="S140" i="1"/>
  <c r="S143" i="1"/>
  <c r="S102" i="1"/>
  <c r="S103" i="1"/>
  <c r="S107" i="1"/>
  <c r="S139" i="1"/>
  <c r="S108" i="1"/>
  <c r="J56" i="36" l="1"/>
  <c r="J57" i="36" s="1"/>
  <c r="J58" i="36" s="1"/>
  <c r="R82" i="1"/>
  <c r="P11" i="49"/>
  <c r="P11" i="10"/>
  <c r="L7" i="19"/>
  <c r="P84" i="1"/>
  <c r="N13" i="49"/>
  <c r="N14" i="49" s="1"/>
  <c r="N7" i="52" s="1"/>
  <c r="N10" i="52" s="1"/>
  <c r="N13" i="10"/>
  <c r="N14" i="10" s="1"/>
  <c r="N7" i="19" s="1"/>
  <c r="N10" i="19" s="1"/>
  <c r="J40" i="36"/>
  <c r="J41" i="36" s="1"/>
  <c r="I42" i="36"/>
  <c r="I58" i="6"/>
  <c r="J56" i="6"/>
  <c r="J57" i="6" s="1"/>
  <c r="J40" i="6"/>
  <c r="J41" i="6" s="1"/>
  <c r="I42" i="6"/>
  <c r="T142" i="1"/>
  <c r="T144" i="1"/>
  <c r="T108" i="1"/>
  <c r="T139" i="1"/>
  <c r="T140" i="1"/>
  <c r="T141" i="1"/>
  <c r="T104" i="1"/>
  <c r="T106" i="1"/>
  <c r="T107" i="1"/>
  <c r="T103" i="1"/>
  <c r="T102" i="1"/>
  <c r="T143" i="1"/>
  <c r="K56" i="36" l="1"/>
  <c r="K57" i="36" s="1"/>
  <c r="L10" i="19"/>
  <c r="S82" i="1"/>
  <c r="Q11" i="49"/>
  <c r="Q11" i="10"/>
  <c r="Q84" i="1"/>
  <c r="O13" i="49"/>
  <c r="O14" i="49" s="1"/>
  <c r="O7" i="52" s="1"/>
  <c r="O10" i="52" s="1"/>
  <c r="O13" i="10"/>
  <c r="O14" i="10" s="1"/>
  <c r="O7" i="19" s="1"/>
  <c r="O10" i="19" s="1"/>
  <c r="K58" i="36"/>
  <c r="L56" i="36"/>
  <c r="L57" i="36" s="1"/>
  <c r="J42" i="36"/>
  <c r="K40" i="36"/>
  <c r="K41" i="36" s="1"/>
  <c r="K56" i="6"/>
  <c r="K57" i="6" s="1"/>
  <c r="J58" i="6"/>
  <c r="K40" i="6"/>
  <c r="K41" i="6" s="1"/>
  <c r="J42" i="6"/>
  <c r="U144" i="1"/>
  <c r="U103" i="1"/>
  <c r="U104" i="1"/>
  <c r="U140" i="1"/>
  <c r="U108" i="1"/>
  <c r="U139" i="1"/>
  <c r="U143" i="1"/>
  <c r="U102" i="1"/>
  <c r="U107" i="1"/>
  <c r="U106" i="1"/>
  <c r="U141" i="1"/>
  <c r="U142" i="1"/>
  <c r="T82" i="1" l="1"/>
  <c r="R11" i="49"/>
  <c r="R11" i="10"/>
  <c r="R84" i="1"/>
  <c r="P13" i="49"/>
  <c r="P14" i="49" s="1"/>
  <c r="P7" i="52" s="1"/>
  <c r="P10" i="52" s="1"/>
  <c r="P13" i="10"/>
  <c r="P14" i="10" s="1"/>
  <c r="P7" i="19" s="1"/>
  <c r="P10" i="19" s="1"/>
  <c r="K42" i="36"/>
  <c r="L40" i="36"/>
  <c r="L41" i="36" s="1"/>
  <c r="M56" i="36"/>
  <c r="M57" i="36" s="1"/>
  <c r="L58" i="36"/>
  <c r="K58" i="6"/>
  <c r="L56" i="6"/>
  <c r="L57" i="6" s="1"/>
  <c r="L40" i="6"/>
  <c r="L41" i="6" s="1"/>
  <c r="K42" i="6"/>
  <c r="V142" i="1"/>
  <c r="V140" i="1"/>
  <c r="V141" i="1"/>
  <c r="V107" i="1"/>
  <c r="V143" i="1"/>
  <c r="V108" i="1"/>
  <c r="V104" i="1"/>
  <c r="V103" i="1"/>
  <c r="V144" i="1"/>
  <c r="V106" i="1"/>
  <c r="V102" i="1"/>
  <c r="V139" i="1"/>
  <c r="S84" i="1" l="1"/>
  <c r="Q13" i="49"/>
  <c r="Q14" i="49" s="1"/>
  <c r="Q7" i="52" s="1"/>
  <c r="Q10" i="52" s="1"/>
  <c r="Q13" i="10"/>
  <c r="Q14" i="10" s="1"/>
  <c r="Q7" i="19" s="1"/>
  <c r="U82" i="1"/>
  <c r="S11" i="49"/>
  <c r="S11" i="10"/>
  <c r="M40" i="36"/>
  <c r="M41" i="36" s="1"/>
  <c r="L42" i="36"/>
  <c r="M58" i="36"/>
  <c r="N56" i="36"/>
  <c r="N57" i="36" s="1"/>
  <c r="M56" i="6"/>
  <c r="M57" i="6" s="1"/>
  <c r="L58" i="6"/>
  <c r="L42" i="6"/>
  <c r="M40" i="6"/>
  <c r="M41" i="6" s="1"/>
  <c r="W108" i="1"/>
  <c r="W143" i="1"/>
  <c r="W141" i="1"/>
  <c r="W142" i="1"/>
  <c r="W102" i="1"/>
  <c r="W104" i="1"/>
  <c r="W107" i="1"/>
  <c r="W140" i="1"/>
  <c r="W139" i="1"/>
  <c r="W106" i="1"/>
  <c r="W144" i="1"/>
  <c r="W103" i="1"/>
  <c r="V82" i="1" l="1"/>
  <c r="T11" i="49"/>
  <c r="T11" i="10"/>
  <c r="Q10" i="19"/>
  <c r="T84" i="1"/>
  <c r="R13" i="49"/>
  <c r="R14" i="49" s="1"/>
  <c r="R7" i="52" s="1"/>
  <c r="R10" i="52" s="1"/>
  <c r="R13" i="10"/>
  <c r="R14" i="10" s="1"/>
  <c r="R7" i="19" s="1"/>
  <c r="R10" i="19" s="1"/>
  <c r="N58" i="36"/>
  <c r="O56" i="36"/>
  <c r="O57" i="36" s="1"/>
  <c r="N40" i="36"/>
  <c r="N41" i="36" s="1"/>
  <c r="M42" i="36"/>
  <c r="N56" i="6"/>
  <c r="N57" i="6" s="1"/>
  <c r="M58" i="6"/>
  <c r="N40" i="6"/>
  <c r="N41" i="6" s="1"/>
  <c r="M42" i="6"/>
  <c r="X103" i="1"/>
  <c r="X106" i="1"/>
  <c r="X107" i="1"/>
  <c r="X102" i="1"/>
  <c r="X142" i="1"/>
  <c r="X143" i="1"/>
  <c r="X144" i="1"/>
  <c r="X139" i="1"/>
  <c r="X140" i="1"/>
  <c r="X104" i="1"/>
  <c r="X141" i="1"/>
  <c r="X108" i="1"/>
  <c r="U84" i="1" l="1"/>
  <c r="S13" i="49"/>
  <c r="S14" i="49" s="1"/>
  <c r="S7" i="52" s="1"/>
  <c r="S10" i="52" s="1"/>
  <c r="S13" i="10"/>
  <c r="S14" i="10" s="1"/>
  <c r="S7" i="19" s="1"/>
  <c r="S10" i="19" s="1"/>
  <c r="W82" i="1"/>
  <c r="U11" i="49"/>
  <c r="U11" i="10"/>
  <c r="O40" i="36"/>
  <c r="O41" i="36" s="1"/>
  <c r="N42" i="36"/>
  <c r="O58" i="36"/>
  <c r="P56" i="36"/>
  <c r="P57" i="36" s="1"/>
  <c r="N58" i="6"/>
  <c r="O56" i="6"/>
  <c r="O57" i="6" s="1"/>
  <c r="O40" i="6"/>
  <c r="O41" i="6" s="1"/>
  <c r="N42" i="6"/>
  <c r="Y141" i="1"/>
  <c r="Y104" i="1"/>
  <c r="Y139" i="1"/>
  <c r="Y143" i="1"/>
  <c r="Y142" i="1"/>
  <c r="Y106" i="1"/>
  <c r="Y108" i="1"/>
  <c r="Y140" i="1"/>
  <c r="Y144" i="1"/>
  <c r="Y102" i="1"/>
  <c r="Y107" i="1"/>
  <c r="Y103" i="1"/>
  <c r="X82" i="1" l="1"/>
  <c r="V11" i="49"/>
  <c r="V11" i="10"/>
  <c r="V84" i="1"/>
  <c r="T13" i="49"/>
  <c r="T14" i="49" s="1"/>
  <c r="T7" i="52" s="1"/>
  <c r="T10" i="52" s="1"/>
  <c r="T13" i="10"/>
  <c r="T14" i="10" s="1"/>
  <c r="T7" i="19" s="1"/>
  <c r="T10" i="19" s="1"/>
  <c r="P40" i="36"/>
  <c r="P41" i="36" s="1"/>
  <c r="O42" i="36"/>
  <c r="Q56" i="36"/>
  <c r="Q57" i="36" s="1"/>
  <c r="P58" i="36"/>
  <c r="P40" i="6"/>
  <c r="P41" i="6" s="1"/>
  <c r="O42" i="6"/>
  <c r="P56" i="6"/>
  <c r="P57" i="6" s="1"/>
  <c r="O58" i="6"/>
  <c r="Z139" i="1"/>
  <c r="Z141" i="1"/>
  <c r="Z103" i="1"/>
  <c r="Z140" i="1"/>
  <c r="Z143" i="1"/>
  <c r="Z102" i="1"/>
  <c r="Z144" i="1"/>
  <c r="Z106" i="1"/>
  <c r="Z142" i="1"/>
  <c r="Z104" i="1"/>
  <c r="Z107" i="1"/>
  <c r="Z108" i="1"/>
  <c r="W84" i="1" l="1"/>
  <c r="U13" i="49"/>
  <c r="U14" i="49" s="1"/>
  <c r="U7" i="52" s="1"/>
  <c r="U10" i="52" s="1"/>
  <c r="U13" i="10"/>
  <c r="U14" i="10" s="1"/>
  <c r="U7" i="19" s="1"/>
  <c r="U10" i="19" s="1"/>
  <c r="Y82" i="1"/>
  <c r="W11" i="49"/>
  <c r="W11" i="10"/>
  <c r="Q58" i="36"/>
  <c r="R56" i="36"/>
  <c r="R57" i="36" s="1"/>
  <c r="P42" i="36"/>
  <c r="Q40" i="36"/>
  <c r="Q41" i="36" s="1"/>
  <c r="P58" i="6"/>
  <c r="Q56" i="6"/>
  <c r="Q57" i="6" s="1"/>
  <c r="P42" i="6"/>
  <c r="Q40" i="6"/>
  <c r="Q41" i="6" s="1"/>
  <c r="AA104" i="1"/>
  <c r="AA102" i="1"/>
  <c r="AA143" i="1"/>
  <c r="AA141" i="1"/>
  <c r="AA107" i="1"/>
  <c r="AA142" i="1"/>
  <c r="AA144" i="1"/>
  <c r="AA140" i="1"/>
  <c r="AA103" i="1"/>
  <c r="AA139" i="1"/>
  <c r="AA108" i="1"/>
  <c r="AA106" i="1"/>
  <c r="Z82" i="1" l="1"/>
  <c r="X11" i="49"/>
  <c r="X11" i="10"/>
  <c r="X84" i="1"/>
  <c r="V13" i="49"/>
  <c r="V14" i="49" s="1"/>
  <c r="V7" i="52" s="1"/>
  <c r="V10" i="52" s="1"/>
  <c r="V13" i="10"/>
  <c r="V14" i="10" s="1"/>
  <c r="V7" i="19" s="1"/>
  <c r="V10" i="19" s="1"/>
  <c r="R40" i="36"/>
  <c r="R41" i="36" s="1"/>
  <c r="Q42" i="36"/>
  <c r="S56" i="36"/>
  <c r="S57" i="36" s="1"/>
  <c r="R58" i="36"/>
  <c r="R56" i="6"/>
  <c r="R57" i="6" s="1"/>
  <c r="Q58" i="6"/>
  <c r="R40" i="6"/>
  <c r="R41" i="6" s="1"/>
  <c r="Q42" i="6"/>
  <c r="AB106" i="1"/>
  <c r="AB140" i="1"/>
  <c r="AB107" i="1"/>
  <c r="AB102" i="1"/>
  <c r="AB144" i="1"/>
  <c r="AB108" i="1"/>
  <c r="AB103" i="1"/>
  <c r="AB142" i="1"/>
  <c r="AB139" i="1"/>
  <c r="AB141" i="1"/>
  <c r="AB143" i="1"/>
  <c r="AB104" i="1"/>
  <c r="Y84" i="1" l="1"/>
  <c r="W13" i="49"/>
  <c r="W14" i="49" s="1"/>
  <c r="W7" i="52" s="1"/>
  <c r="W10" i="52" s="1"/>
  <c r="W13" i="10"/>
  <c r="W14" i="10" s="1"/>
  <c r="W7" i="19" s="1"/>
  <c r="W10" i="19" s="1"/>
  <c r="AA82" i="1"/>
  <c r="Y11" i="49"/>
  <c r="Y11" i="10"/>
  <c r="S58" i="36"/>
  <c r="T56" i="36"/>
  <c r="T57" i="36" s="1"/>
  <c r="R42" i="36"/>
  <c r="S40" i="36"/>
  <c r="S41" i="36" s="1"/>
  <c r="R42" i="6"/>
  <c r="S40" i="6"/>
  <c r="S41" i="6" s="1"/>
  <c r="S56" i="6"/>
  <c r="S57" i="6" s="1"/>
  <c r="R58" i="6"/>
  <c r="AC144" i="1"/>
  <c r="AC102" i="1"/>
  <c r="AC107" i="1"/>
  <c r="AC106" i="1"/>
  <c r="AC143" i="1"/>
  <c r="AC139" i="1"/>
  <c r="AC103" i="1"/>
  <c r="AC140" i="1"/>
  <c r="AC104" i="1"/>
  <c r="AC141" i="1"/>
  <c r="AC142" i="1"/>
  <c r="AC108" i="1"/>
  <c r="AB82" i="1" l="1"/>
  <c r="Z11" i="49"/>
  <c r="Z11" i="10"/>
  <c r="Z84" i="1"/>
  <c r="X13" i="49"/>
  <c r="X14" i="49" s="1"/>
  <c r="X7" i="52" s="1"/>
  <c r="X10" i="52" s="1"/>
  <c r="X13" i="10"/>
  <c r="X14" i="10" s="1"/>
  <c r="X7" i="19" s="1"/>
  <c r="X10" i="19" s="1"/>
  <c r="S42" i="36"/>
  <c r="T40" i="36"/>
  <c r="T41" i="36" s="1"/>
  <c r="T58" i="36"/>
  <c r="U56" i="36"/>
  <c r="U57" i="36" s="1"/>
  <c r="S58" i="6"/>
  <c r="T56" i="6"/>
  <c r="T57" i="6" s="1"/>
  <c r="S42" i="6"/>
  <c r="T40" i="6"/>
  <c r="T41" i="6" s="1"/>
  <c r="AD108" i="1"/>
  <c r="AD141" i="1"/>
  <c r="AD107" i="1"/>
  <c r="AD142" i="1"/>
  <c r="AD104" i="1"/>
  <c r="AD139" i="1"/>
  <c r="AD106" i="1"/>
  <c r="AD102" i="1"/>
  <c r="AD140" i="1"/>
  <c r="AD103" i="1"/>
  <c r="AD143" i="1"/>
  <c r="AD144" i="1"/>
  <c r="AA84" i="1" l="1"/>
  <c r="Y13" i="49"/>
  <c r="Y14" i="49" s="1"/>
  <c r="Y7" i="52" s="1"/>
  <c r="Y10" i="52" s="1"/>
  <c r="Y13" i="10"/>
  <c r="Y14" i="10" s="1"/>
  <c r="Y7" i="19" s="1"/>
  <c r="Y10" i="19" s="1"/>
  <c r="AC82" i="1"/>
  <c r="AA11" i="49"/>
  <c r="AA11" i="10"/>
  <c r="V56" i="36"/>
  <c r="V57" i="36" s="1"/>
  <c r="U58" i="36"/>
  <c r="U40" i="36"/>
  <c r="U41" i="36" s="1"/>
  <c r="T42" i="36"/>
  <c r="U56" i="6"/>
  <c r="U57" i="6" s="1"/>
  <c r="T58" i="6"/>
  <c r="T42" i="6"/>
  <c r="U40" i="6"/>
  <c r="U41" i="6" s="1"/>
  <c r="AE144" i="1"/>
  <c r="AE103" i="1"/>
  <c r="AE106" i="1"/>
  <c r="AE104" i="1"/>
  <c r="AE142" i="1"/>
  <c r="AE107" i="1"/>
  <c r="AE141" i="1"/>
  <c r="AE143" i="1"/>
  <c r="AE140" i="1"/>
  <c r="AE102" i="1"/>
  <c r="AE139" i="1"/>
  <c r="AE108" i="1"/>
  <c r="AD82" i="1" l="1"/>
  <c r="AB11" i="49"/>
  <c r="AB11" i="10"/>
  <c r="AB84" i="1"/>
  <c r="Z13" i="49"/>
  <c r="Z14" i="49" s="1"/>
  <c r="Z7" i="52" s="1"/>
  <c r="Z10" i="52" s="1"/>
  <c r="Z13" i="10"/>
  <c r="Z14" i="10" s="1"/>
  <c r="Z7" i="19" s="1"/>
  <c r="Z10" i="19" s="1"/>
  <c r="V40" i="36"/>
  <c r="V41" i="36" s="1"/>
  <c r="U42" i="36"/>
  <c r="W56" i="36"/>
  <c r="W57" i="36" s="1"/>
  <c r="V58" i="36"/>
  <c r="U42" i="6"/>
  <c r="V40" i="6"/>
  <c r="V41" i="6" s="1"/>
  <c r="V56" i="6"/>
  <c r="V57" i="6" s="1"/>
  <c r="U58" i="6"/>
  <c r="AF108" i="1"/>
  <c r="AF139" i="1"/>
  <c r="AF140" i="1"/>
  <c r="AF141" i="1"/>
  <c r="AF107" i="1"/>
  <c r="AF142" i="1"/>
  <c r="AF106" i="1"/>
  <c r="AF103" i="1"/>
  <c r="AF102" i="1"/>
  <c r="AF143" i="1"/>
  <c r="AF104" i="1"/>
  <c r="AF144" i="1"/>
  <c r="AC84" i="1" l="1"/>
  <c r="AA13" i="49"/>
  <c r="AA14" i="49" s="1"/>
  <c r="AA7" i="52" s="1"/>
  <c r="AA10" i="52" s="1"/>
  <c r="AA13" i="10"/>
  <c r="AA14" i="10" s="1"/>
  <c r="AA7" i="19" s="1"/>
  <c r="AA10" i="19" s="1"/>
  <c r="AE82" i="1"/>
  <c r="AC11" i="49"/>
  <c r="AC11" i="10"/>
  <c r="X56" i="36"/>
  <c r="X57" i="36" s="1"/>
  <c r="W58" i="36"/>
  <c r="V42" i="36"/>
  <c r="W40" i="36"/>
  <c r="W41" i="36" s="1"/>
  <c r="V42" i="6"/>
  <c r="W40" i="6"/>
  <c r="W41" i="6" s="1"/>
  <c r="W56" i="6"/>
  <c r="W57" i="6" s="1"/>
  <c r="V58" i="6"/>
  <c r="AG104" i="1"/>
  <c r="AH104" i="1" s="1"/>
  <c r="AI104" i="1" s="1"/>
  <c r="AJ104" i="1" s="1"/>
  <c r="AK104" i="1" s="1"/>
  <c r="AL104" i="1" s="1"/>
  <c r="AM104" i="1" s="1"/>
  <c r="AN104" i="1" s="1"/>
  <c r="AO104" i="1" s="1"/>
  <c r="AP104" i="1" s="1"/>
  <c r="AG106" i="1"/>
  <c r="AH106" i="1" s="1"/>
  <c r="AI106" i="1" s="1"/>
  <c r="AJ106" i="1" s="1"/>
  <c r="AK106" i="1" s="1"/>
  <c r="AL106" i="1" s="1"/>
  <c r="AM106" i="1" s="1"/>
  <c r="AN106" i="1" s="1"/>
  <c r="AO106" i="1" s="1"/>
  <c r="AP106" i="1" s="1"/>
  <c r="AG141" i="1"/>
  <c r="AH141" i="1" s="1"/>
  <c r="AI141" i="1" s="1"/>
  <c r="AJ141" i="1" s="1"/>
  <c r="AK141" i="1" s="1"/>
  <c r="AL141" i="1" s="1"/>
  <c r="AM141" i="1" s="1"/>
  <c r="AN141" i="1" s="1"/>
  <c r="AO141" i="1" s="1"/>
  <c r="AP141" i="1" s="1"/>
  <c r="AG139" i="1"/>
  <c r="AH139" i="1" s="1"/>
  <c r="AI139" i="1" s="1"/>
  <c r="AJ139" i="1" s="1"/>
  <c r="AK139" i="1" s="1"/>
  <c r="AL139" i="1" s="1"/>
  <c r="AM139" i="1" s="1"/>
  <c r="AN139" i="1" s="1"/>
  <c r="AO139" i="1" s="1"/>
  <c r="AP139" i="1" s="1"/>
  <c r="AG108" i="1"/>
  <c r="AH108" i="1" s="1"/>
  <c r="AI108" i="1" s="1"/>
  <c r="AJ108" i="1" s="1"/>
  <c r="AK108" i="1" s="1"/>
  <c r="AL108" i="1" s="1"/>
  <c r="AM108" i="1" s="1"/>
  <c r="AN108" i="1" s="1"/>
  <c r="AO108" i="1" s="1"/>
  <c r="AP108" i="1" s="1"/>
  <c r="AG143" i="1"/>
  <c r="AH143" i="1" s="1"/>
  <c r="AI143" i="1" s="1"/>
  <c r="AJ143" i="1" s="1"/>
  <c r="AK143" i="1" s="1"/>
  <c r="AL143" i="1" s="1"/>
  <c r="AM143" i="1" s="1"/>
  <c r="AN143" i="1" s="1"/>
  <c r="AO143" i="1" s="1"/>
  <c r="AP143" i="1" s="1"/>
  <c r="AG144" i="1"/>
  <c r="AH144" i="1" s="1"/>
  <c r="AI144" i="1" s="1"/>
  <c r="AJ144" i="1" s="1"/>
  <c r="AK144" i="1" s="1"/>
  <c r="AL144" i="1" s="1"/>
  <c r="AM144" i="1" s="1"/>
  <c r="AN144" i="1" s="1"/>
  <c r="AO144" i="1" s="1"/>
  <c r="AP144" i="1" s="1"/>
  <c r="AG103" i="1"/>
  <c r="AH103" i="1" s="1"/>
  <c r="AI103" i="1" s="1"/>
  <c r="AJ103" i="1" s="1"/>
  <c r="AK103" i="1" s="1"/>
  <c r="AL103" i="1" s="1"/>
  <c r="AM103" i="1" s="1"/>
  <c r="AN103" i="1" s="1"/>
  <c r="AO103" i="1" s="1"/>
  <c r="AP103" i="1" s="1"/>
  <c r="AG107" i="1"/>
  <c r="AH107" i="1" s="1"/>
  <c r="AI107" i="1" s="1"/>
  <c r="AJ107" i="1" s="1"/>
  <c r="AK107" i="1" s="1"/>
  <c r="AL107" i="1" s="1"/>
  <c r="AM107" i="1" s="1"/>
  <c r="AN107" i="1" s="1"/>
  <c r="AO107" i="1" s="1"/>
  <c r="AP107" i="1" s="1"/>
  <c r="AG140" i="1"/>
  <c r="AH140" i="1" s="1"/>
  <c r="AI140" i="1" s="1"/>
  <c r="AJ140" i="1" s="1"/>
  <c r="AK140" i="1" s="1"/>
  <c r="AL140" i="1" s="1"/>
  <c r="AM140" i="1" s="1"/>
  <c r="AN140" i="1" s="1"/>
  <c r="AO140" i="1" s="1"/>
  <c r="AP140" i="1" s="1"/>
  <c r="AG102" i="1"/>
  <c r="AH102" i="1" s="1"/>
  <c r="AI102" i="1" s="1"/>
  <c r="AJ102" i="1" s="1"/>
  <c r="AK102" i="1" s="1"/>
  <c r="AL102" i="1" s="1"/>
  <c r="AM102" i="1" s="1"/>
  <c r="AN102" i="1" s="1"/>
  <c r="AO102" i="1" s="1"/>
  <c r="AP102" i="1" s="1"/>
  <c r="AG142" i="1"/>
  <c r="AH142" i="1" s="1"/>
  <c r="AI142" i="1" s="1"/>
  <c r="AJ142" i="1" s="1"/>
  <c r="AK142" i="1" s="1"/>
  <c r="AL142" i="1" s="1"/>
  <c r="AM142" i="1" s="1"/>
  <c r="AN142" i="1" s="1"/>
  <c r="AO142" i="1" s="1"/>
  <c r="AP142" i="1" s="1"/>
  <c r="AF82" i="1" l="1"/>
  <c r="AD11" i="49"/>
  <c r="AD11" i="10"/>
  <c r="AD84" i="1"/>
  <c r="AB13" i="49"/>
  <c r="AB14" i="49" s="1"/>
  <c r="AB7" i="52" s="1"/>
  <c r="AB10" i="52" s="1"/>
  <c r="AB13" i="10"/>
  <c r="AB14" i="10" s="1"/>
  <c r="AB7" i="19" s="1"/>
  <c r="AB10" i="19" s="1"/>
  <c r="X40" i="36"/>
  <c r="X41" i="36" s="1"/>
  <c r="W42" i="36"/>
  <c r="Y56" i="36"/>
  <c r="Y57" i="36" s="1"/>
  <c r="X58" i="36"/>
  <c r="W42" i="6"/>
  <c r="X40" i="6"/>
  <c r="X41" i="6" s="1"/>
  <c r="X56" i="6"/>
  <c r="X57" i="6" s="1"/>
  <c r="W58" i="6"/>
  <c r="AE84" i="1" l="1"/>
  <c r="AC13" i="49"/>
  <c r="AC14" i="49" s="1"/>
  <c r="AC7" i="52" s="1"/>
  <c r="AC10" i="52" s="1"/>
  <c r="AC13" i="10"/>
  <c r="AC14" i="10" s="1"/>
  <c r="AC7" i="19" s="1"/>
  <c r="AC10" i="19" s="1"/>
  <c r="AG82" i="1"/>
  <c r="AE11" i="49"/>
  <c r="AE11" i="10"/>
  <c r="Y58" i="36"/>
  <c r="Z56" i="36"/>
  <c r="Z57" i="36" s="1"/>
  <c r="Y40" i="36"/>
  <c r="Y41" i="36" s="1"/>
  <c r="X42" i="36"/>
  <c r="Y40" i="6"/>
  <c r="Y41" i="6" s="1"/>
  <c r="X42" i="6"/>
  <c r="Y56" i="6"/>
  <c r="Y57" i="6" s="1"/>
  <c r="X58" i="6"/>
  <c r="AH82" i="1" l="1"/>
  <c r="AF11" i="49"/>
  <c r="AF11" i="10"/>
  <c r="AF84" i="1"/>
  <c r="AD13" i="49"/>
  <c r="AD14" i="49" s="1"/>
  <c r="AD7" i="52" s="1"/>
  <c r="AD10" i="52" s="1"/>
  <c r="AD13" i="10"/>
  <c r="AD14" i="10" s="1"/>
  <c r="AD7" i="19" s="1"/>
  <c r="AD10" i="19" s="1"/>
  <c r="Z40" i="36"/>
  <c r="Z41" i="36" s="1"/>
  <c r="Y42" i="36"/>
  <c r="AA56" i="36"/>
  <c r="AA57" i="36" s="1"/>
  <c r="Z58" i="36"/>
  <c r="Z40" i="6"/>
  <c r="Z41" i="6" s="1"/>
  <c r="Y42" i="6"/>
  <c r="Y58" i="6"/>
  <c r="Z56" i="6"/>
  <c r="Z57" i="6" s="1"/>
  <c r="AG84" i="1" l="1"/>
  <c r="AE13" i="49"/>
  <c r="AE14" i="49" s="1"/>
  <c r="AE7" i="52" s="1"/>
  <c r="AE10" i="52" s="1"/>
  <c r="AE13" i="10"/>
  <c r="AE14" i="10" s="1"/>
  <c r="AE7" i="19" s="1"/>
  <c r="AE10" i="19" s="1"/>
  <c r="AI82" i="1"/>
  <c r="AJ82" i="1" s="1"/>
  <c r="AK82" i="1" s="1"/>
  <c r="AL82" i="1" s="1"/>
  <c r="AM82" i="1" s="1"/>
  <c r="AN82" i="1" s="1"/>
  <c r="AO82" i="1" s="1"/>
  <c r="AP82" i="1" s="1"/>
  <c r="AQ82" i="1" s="1"/>
  <c r="AR82" i="1" s="1"/>
  <c r="AG11" i="49"/>
  <c r="AG11" i="10"/>
  <c r="AA58" i="36"/>
  <c r="AB56" i="36"/>
  <c r="AB57" i="36" s="1"/>
  <c r="Z42" i="36"/>
  <c r="AA40" i="36"/>
  <c r="AA41" i="36" s="1"/>
  <c r="Z58" i="6"/>
  <c r="AA56" i="6"/>
  <c r="AA57" i="6" s="1"/>
  <c r="AA40" i="6"/>
  <c r="AA41" i="6" s="1"/>
  <c r="Z42" i="6"/>
  <c r="C11" i="10" l="1"/>
  <c r="C11" i="49"/>
  <c r="AH84" i="1"/>
  <c r="AF13" i="49"/>
  <c r="AF14" i="49" s="1"/>
  <c r="AF7" i="52" s="1"/>
  <c r="AF10" i="52" s="1"/>
  <c r="AF13" i="10"/>
  <c r="AF14" i="10" s="1"/>
  <c r="AF7" i="19" s="1"/>
  <c r="AF10" i="19" s="1"/>
  <c r="AA42" i="36"/>
  <c r="AB40" i="36"/>
  <c r="AB41" i="36" s="1"/>
  <c r="AB58" i="36"/>
  <c r="AC56" i="36"/>
  <c r="AC57" i="36" s="1"/>
  <c r="AA58" i="6"/>
  <c r="AB56" i="6"/>
  <c r="AB57" i="6" s="1"/>
  <c r="AB40" i="6"/>
  <c r="AB41" i="6" s="1"/>
  <c r="AA42" i="6"/>
  <c r="AI84" i="1" l="1"/>
  <c r="AJ84" i="1" s="1"/>
  <c r="AK84" i="1" s="1"/>
  <c r="AL84" i="1" s="1"/>
  <c r="AM84" i="1" s="1"/>
  <c r="AN84" i="1" s="1"/>
  <c r="AO84" i="1" s="1"/>
  <c r="AP84" i="1" s="1"/>
  <c r="AQ84" i="1" s="1"/>
  <c r="AR84" i="1" s="1"/>
  <c r="AG13" i="49"/>
  <c r="AG13" i="10"/>
  <c r="AC40" i="36"/>
  <c r="AC41" i="36" s="1"/>
  <c r="AB42" i="36"/>
  <c r="AC58" i="36"/>
  <c r="AD56" i="36"/>
  <c r="AD57" i="36" s="1"/>
  <c r="AB58" i="6"/>
  <c r="AC56" i="6"/>
  <c r="AC57" i="6" s="1"/>
  <c r="AC40" i="6"/>
  <c r="AC41" i="6" s="1"/>
  <c r="AB42" i="6"/>
  <c r="C13" i="49" l="1"/>
  <c r="AG14" i="49"/>
  <c r="C13" i="10"/>
  <c r="AG14" i="10"/>
  <c r="AE56" i="36"/>
  <c r="AE57" i="36" s="1"/>
  <c r="AD58" i="36"/>
  <c r="AD40" i="36"/>
  <c r="AD41" i="36" s="1"/>
  <c r="AC42" i="36"/>
  <c r="AC58" i="6"/>
  <c r="AD56" i="6"/>
  <c r="AD57" i="6" s="1"/>
  <c r="AD40" i="6"/>
  <c r="AD41" i="6" s="1"/>
  <c r="AC42" i="6"/>
  <c r="AG7" i="19" l="1"/>
  <c r="D35" i="32" s="1"/>
  <c r="C14" i="10"/>
  <c r="AG7" i="52"/>
  <c r="C14" i="49"/>
  <c r="AF56" i="36"/>
  <c r="AE58" i="36"/>
  <c r="AD42" i="36"/>
  <c r="AE40" i="36"/>
  <c r="AE41" i="36" s="1"/>
  <c r="AE56" i="6"/>
  <c r="AE57" i="6" s="1"/>
  <c r="AD58" i="6"/>
  <c r="AE40" i="6"/>
  <c r="AE41" i="6" s="1"/>
  <c r="AD42" i="6"/>
  <c r="AG10" i="52" l="1"/>
  <c r="C7" i="52"/>
  <c r="C15" i="52" s="1"/>
  <c r="C7" i="19"/>
  <c r="AF57" i="36"/>
  <c r="AF58" i="36" s="1"/>
  <c r="AG56" i="36"/>
  <c r="AE42" i="36"/>
  <c r="AF40" i="36"/>
  <c r="AF56" i="6"/>
  <c r="AE58" i="6"/>
  <c r="AF40" i="6"/>
  <c r="AE42" i="6"/>
  <c r="C13" i="52" l="1"/>
  <c r="C12" i="52"/>
  <c r="D37" i="32"/>
  <c r="E35" i="32"/>
  <c r="E37" i="32" s="1"/>
  <c r="C14" i="52"/>
  <c r="C10" i="52"/>
  <c r="AF41" i="6"/>
  <c r="AF42" i="6" s="1"/>
  <c r="AG40" i="6"/>
  <c r="AF57" i="6"/>
  <c r="AF58" i="6" s="1"/>
  <c r="AG56" i="6"/>
  <c r="AG57" i="36"/>
  <c r="AG58" i="36" s="1"/>
  <c r="AF41" i="36"/>
  <c r="AF42" i="36" s="1"/>
  <c r="AG40" i="36"/>
  <c r="F35" i="32" l="1"/>
  <c r="AG57" i="6"/>
  <c r="AG41" i="6"/>
  <c r="AG42" i="6" s="1"/>
  <c r="AG41" i="36"/>
  <c r="AG42" i="36" s="1"/>
  <c r="F37" i="32" l="1"/>
  <c r="G35" i="32"/>
  <c r="AG58" i="6"/>
  <c r="C41" i="6"/>
  <c r="C57" i="36"/>
  <c r="G37" i="32" l="1"/>
  <c r="H35" i="32"/>
  <c r="I35" i="32" s="1"/>
  <c r="C57" i="6"/>
  <c r="C41" i="36"/>
  <c r="J35" i="32" l="1"/>
  <c r="I37" i="32"/>
  <c r="H37" i="32"/>
  <c r="K35" i="32" l="1"/>
  <c r="J37" i="32"/>
  <c r="L35" i="32" l="1"/>
  <c r="K37" i="32"/>
  <c r="M35" i="32" l="1"/>
  <c r="L37" i="32"/>
  <c r="N35" i="32" l="1"/>
  <c r="M37" i="32"/>
  <c r="O35" i="32" l="1"/>
  <c r="N37" i="32"/>
  <c r="P35" i="32" l="1"/>
  <c r="O37" i="32"/>
  <c r="Q35" i="32" l="1"/>
  <c r="P37" i="32"/>
  <c r="R35" i="32" l="1"/>
  <c r="Q37" i="32"/>
  <c r="R37" i="32" l="1"/>
  <c r="C37" i="32" s="1"/>
  <c r="C17" i="32" s="1"/>
  <c r="C35" i="32"/>
  <c r="C9" i="19" l="1"/>
  <c r="AG10" i="19"/>
  <c r="C12" i="19" l="1"/>
  <c r="C10" i="19"/>
  <c r="C13" i="19"/>
  <c r="G17" i="68" s="1"/>
  <c r="C15" i="19"/>
  <c r="I17" i="68" s="1"/>
  <c r="C14" i="19"/>
  <c r="H17" i="68" s="1"/>
  <c r="D12" i="67" l="1"/>
  <c r="D11" i="67"/>
  <c r="D13" i="67"/>
  <c r="D16" i="67"/>
  <c r="D14" i="67"/>
  <c r="D15" i="67"/>
  <c r="F17" i="68"/>
  <c r="D136" i="67" l="1"/>
  <c r="D78" i="67"/>
  <c r="D27" i="67"/>
  <c r="C27" i="67"/>
  <c r="F27" i="67" s="1"/>
  <c r="E27" i="67"/>
  <c r="G27" i="67" s="1"/>
  <c r="D135" i="67"/>
  <c r="C26" i="67"/>
  <c r="F26" i="67" s="1"/>
  <c r="E26" i="67"/>
  <c r="G26" i="67" s="1"/>
  <c r="D77" i="67"/>
  <c r="D26" i="67"/>
  <c r="C28" i="67"/>
  <c r="F28" i="67" s="1"/>
  <c r="D79" i="67"/>
  <c r="D137" i="67"/>
  <c r="E28" i="67"/>
  <c r="G28" i="67" s="1"/>
  <c r="D28" i="67"/>
  <c r="D25" i="67"/>
  <c r="D76" i="67"/>
  <c r="D134" i="67"/>
  <c r="E25" i="67"/>
  <c r="G25" i="67" s="1"/>
  <c r="C25" i="67"/>
  <c r="F25" i="67" s="1"/>
  <c r="D74" i="67"/>
  <c r="D132" i="67"/>
  <c r="C23" i="67"/>
  <c r="F23" i="67" s="1"/>
  <c r="E23" i="67"/>
  <c r="G23" i="67" s="1"/>
  <c r="D23" i="67"/>
  <c r="C24" i="67"/>
  <c r="F24" i="67" s="1"/>
  <c r="D133" i="67"/>
  <c r="D75" i="67"/>
  <c r="D24" i="67"/>
  <c r="E24" i="67"/>
  <c r="G24" i="67" s="1"/>
  <c r="D147" i="67" l="1"/>
  <c r="C147" i="67"/>
  <c r="F147" i="67" s="1"/>
  <c r="E147" i="67"/>
  <c r="G147" i="67" s="1"/>
  <c r="C86" i="67"/>
  <c r="F86" i="67" s="1"/>
  <c r="E86" i="67"/>
  <c r="G86" i="67" s="1"/>
  <c r="D86" i="67"/>
  <c r="E149" i="67"/>
  <c r="G149" i="67" s="1"/>
  <c r="C149" i="67"/>
  <c r="F149" i="67" s="1"/>
  <c r="D149" i="67"/>
  <c r="E87" i="67"/>
  <c r="G87" i="67" s="1"/>
  <c r="D87" i="67"/>
  <c r="C87" i="67"/>
  <c r="F87" i="67" s="1"/>
  <c r="E144" i="67"/>
  <c r="G144" i="67" s="1"/>
  <c r="D144" i="67"/>
  <c r="C144" i="67"/>
  <c r="F144" i="67" s="1"/>
  <c r="E145" i="67"/>
  <c r="G145" i="67" s="1"/>
  <c r="C145" i="67"/>
  <c r="F145" i="67" s="1"/>
  <c r="D145" i="67"/>
  <c r="C146" i="67"/>
  <c r="F146" i="67" s="1"/>
  <c r="D146" i="67"/>
  <c r="E146" i="67"/>
  <c r="G146" i="67" s="1"/>
  <c r="C90" i="67"/>
  <c r="F90" i="67" s="1"/>
  <c r="D90" i="67"/>
  <c r="E90" i="67"/>
  <c r="G90" i="67" s="1"/>
  <c r="D91" i="67"/>
  <c r="C91" i="67"/>
  <c r="F91" i="67" s="1"/>
  <c r="E91" i="67"/>
  <c r="G91" i="67" s="1"/>
  <c r="D88" i="67"/>
  <c r="C88" i="67"/>
  <c r="F88" i="67" s="1"/>
  <c r="E88" i="67"/>
  <c r="G88" i="67" s="1"/>
  <c r="E89" i="67"/>
  <c r="G89" i="67" s="1"/>
  <c r="C89" i="67"/>
  <c r="F89" i="67" s="1"/>
  <c r="D89" i="67"/>
  <c r="C148" i="67"/>
  <c r="F148" i="67" s="1"/>
  <c r="E148" i="67"/>
  <c r="G148" i="67" s="1"/>
  <c r="D148" i="6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pspal</author>
  </authors>
  <commentList>
    <comment ref="B6" authorId="0" shapeId="0" xr:uid="{BCE27D12-4FB3-4C23-86D4-6309133D55A7}">
      <text>
        <r>
          <rPr>
            <b/>
            <sz val="9"/>
            <color indexed="81"/>
            <rFont val="Segoe UI"/>
            <family val="2"/>
            <charset val="238"/>
          </rPr>
          <t xml:space="preserve">Hnacie koľajové vozidla (rušne). </t>
        </r>
        <r>
          <rPr>
            <sz val="9"/>
            <color indexed="81"/>
            <rFont val="Segoe UI"/>
            <family val="2"/>
            <charset val="238"/>
          </rPr>
          <t xml:space="preserve">
10 ks náhrada za Vectrony
15 ks náhrada za 17/18 HKV radu 350</t>
        </r>
      </text>
    </comment>
    <comment ref="F6" authorId="0" shapeId="0" xr:uid="{19D5AAC2-3714-44B9-B047-3D5380748BF7}">
      <text>
        <r>
          <rPr>
            <sz val="9"/>
            <color rgb="FF000000"/>
            <rFont val="Segoe UI"/>
            <family val="2"/>
            <charset val="1"/>
          </rPr>
          <t>2 nové HKV/pri vyradení 3 HKV radu 350 SCH</t>
        </r>
      </text>
    </comment>
    <comment ref="G6" authorId="0" shapeId="0" xr:uid="{55CD8EFA-22DA-4869-96DB-EB59B8D420E9}">
      <text>
        <r>
          <rPr>
            <sz val="9"/>
            <color rgb="FF000000"/>
            <rFont val="Segoe UI"/>
            <family val="2"/>
            <charset val="1"/>
          </rPr>
          <t>8 nových HKV/pri vyradení 5 HKV radu 350 SCH a 3 HKV radu 350 E</t>
        </r>
      </text>
    </comment>
    <comment ref="H6" authorId="0" shapeId="0" xr:uid="{A5BCD299-DEF2-4B32-82A0-1221EFB7BBA8}">
      <text>
        <r>
          <rPr>
            <sz val="9"/>
            <color rgb="FF000000"/>
            <rFont val="Segoe UI"/>
            <family val="2"/>
            <charset val="1"/>
          </rPr>
          <t xml:space="preserve">10 nových HKV/pri vyradení 6 HKV radu 350 E a vrátení 5 HKV radu 383 RSL
</t>
        </r>
      </text>
    </comment>
    <comment ref="I6" authorId="0" shapeId="0" xr:uid="{95F3DF01-A428-4DC0-B7DC-AC2B6C5140E0}">
      <text>
        <r>
          <rPr>
            <sz val="9"/>
            <color rgb="FF000000"/>
            <rFont val="Segoe UI"/>
            <family val="2"/>
            <charset val="1"/>
          </rPr>
          <t xml:space="preserve">5 nových HKV/pri vrátení 5 HKV radu 383 RSL
</t>
        </r>
      </text>
    </comment>
    <comment ref="B7" authorId="0" shapeId="0" xr:uid="{BCEF4DA1-6F38-4EA7-8941-863F88F45F13}">
      <text>
        <r>
          <rPr>
            <sz val="9"/>
            <color indexed="81"/>
            <rFont val="Segoe UI"/>
            <family val="2"/>
            <charset val="238"/>
          </rPr>
          <t>Súprava pre diaľkovú dopravu</t>
        </r>
      </text>
    </comment>
    <comment ref="H7" authorId="0" shapeId="0" xr:uid="{CC270324-2CD3-4C25-9C8E-2BF201871525}">
      <text>
        <r>
          <rPr>
            <sz val="9"/>
            <color rgb="FF000000"/>
            <rFont val="Segoe UI"/>
            <family val="2"/>
            <charset val="1"/>
          </rPr>
          <t xml:space="preserve">5 nových SpDD/pri vyradení 50 súčasných vozňov </t>
        </r>
      </text>
    </comment>
    <comment ref="I7" authorId="0" shapeId="0" xr:uid="{71183A79-E96D-4E1F-88CC-DB0DABB1D257}">
      <text>
        <r>
          <rPr>
            <sz val="9"/>
            <color rgb="FF000000"/>
            <rFont val="Segoe UI"/>
            <family val="2"/>
            <charset val="1"/>
          </rPr>
          <t xml:space="preserve">5 nových SpDD/pri vyradení 60 súčasných vozňov </t>
        </r>
      </text>
    </comment>
    <comment ref="C16" authorId="0" shapeId="0" xr:uid="{4F420F11-4618-4756-8848-7C823ED694BC}">
      <text>
        <r>
          <rPr>
            <sz val="9"/>
            <color indexed="81"/>
            <rFont val="Segoe UI"/>
            <family val="2"/>
            <charset val="238"/>
          </rPr>
          <t>ZSSK ako plátca DPH, nemá DPH v žiadnom prípade oprávnenú</t>
        </r>
      </text>
    </comment>
    <comment ref="C17" authorId="0" shapeId="0" xr:uid="{8B458099-9BA5-464C-9F03-06B7D4DCF4C4}">
      <text>
        <r>
          <rPr>
            <sz val="9"/>
            <color indexed="81"/>
            <rFont val="Segoe UI"/>
            <family val="2"/>
            <charset val="238"/>
          </rPr>
          <t>V nadväznosti na komentár C16 bola odrátaná iba rezerva, ktorá sa pri vozidlach nezvykne uplatňovať</t>
        </r>
      </text>
    </comment>
    <comment ref="C18" authorId="0" shapeId="0" xr:uid="{7AF15791-FA21-41A4-AAB1-F6D3CBFE0837}">
      <text>
        <r>
          <rPr>
            <sz val="9"/>
            <color indexed="81"/>
            <rFont val="Segoe UI"/>
            <family val="2"/>
            <charset val="238"/>
          </rPr>
          <t>V nadväznosti na komentáre C16 a C17 je neoprávneným nákladov iba DPH</t>
        </r>
      </text>
    </comment>
    <comment ref="B25" authorId="0" shapeId="0" xr:uid="{83F35F27-4DAA-4FA8-B682-E9A501744F37}">
      <text>
        <r>
          <rPr>
            <b/>
            <sz val="9"/>
            <color indexed="81"/>
            <rFont val="Segoe UI"/>
            <family val="2"/>
            <charset val="238"/>
          </rPr>
          <t xml:space="preserve">Hnacie koľajové vozidla (rušne). </t>
        </r>
        <r>
          <rPr>
            <sz val="9"/>
            <color indexed="81"/>
            <rFont val="Segoe UI"/>
            <family val="2"/>
            <charset val="238"/>
          </rPr>
          <t xml:space="preserve">
10 ks náhrada za Vectrony
15 ks náhrada za 17/18 HKV radu 350</t>
        </r>
      </text>
    </comment>
    <comment ref="B26" authorId="0" shapeId="0" xr:uid="{C5D9C749-6B67-4CF5-9B97-6240B25672E3}">
      <text>
        <r>
          <rPr>
            <sz val="9"/>
            <color indexed="81"/>
            <rFont val="Segoe UI"/>
            <family val="2"/>
            <charset val="238"/>
          </rPr>
          <t>Súprava pre diaľkovú dopravu</t>
        </r>
      </text>
    </comment>
  </commentList>
</comments>
</file>

<file path=xl/sharedStrings.xml><?xml version="1.0" encoding="utf-8"?>
<sst xmlns="http://schemas.openxmlformats.org/spreadsheetml/2006/main" count="2088" uniqueCount="728">
  <si>
    <t>EUR</t>
  </si>
  <si>
    <t>B/C</t>
  </si>
  <si>
    <t>Pozn.:</t>
  </si>
  <si>
    <t xml:space="preserve">Diskontná sadzba (finančná) </t>
  </si>
  <si>
    <t>Diskontná sadzba (ekonomická)</t>
  </si>
  <si>
    <t>Cenová úroveň</t>
  </si>
  <si>
    <t>Mena</t>
  </si>
  <si>
    <t>Fiškálne konverzné faktory</t>
  </si>
  <si>
    <t>stále ceny</t>
  </si>
  <si>
    <t>Celkom</t>
  </si>
  <si>
    <t>Rok</t>
  </si>
  <si>
    <t>Celkové príjmy</t>
  </si>
  <si>
    <t>Príjmy</t>
  </si>
  <si>
    <t>Investičné náklady</t>
  </si>
  <si>
    <t>5.1 Výpočet finančnej medzery</t>
  </si>
  <si>
    <t>Zostatková hodnota</t>
  </si>
  <si>
    <t>5.2 Príspevok Spoločenstva (EÚ)</t>
  </si>
  <si>
    <t>Finančná čistá súčasná hodnota investície (FRR_C)</t>
  </si>
  <si>
    <t>Finančné vnútorné výnosové percento investície  (FIRR_C)</t>
  </si>
  <si>
    <t>Finančná čistá súčasná hodnota kapitálu (FNPV_K)</t>
  </si>
  <si>
    <t>Finančné vnútorné výnosové percento kapitálu (FIRR_K)</t>
  </si>
  <si>
    <t>6.1 Finančná čistá súčasná hodnota investície  (FRR_C)</t>
  </si>
  <si>
    <t>6.2 Finančná čistá súčasná hodnota kapitálu  (FNPV_K)</t>
  </si>
  <si>
    <t>Celkové výdavky</t>
  </si>
  <si>
    <t>Kumulovaný čistý peňažný tok</t>
  </si>
  <si>
    <t>Nediskontované</t>
  </si>
  <si>
    <t>Diskontované</t>
  </si>
  <si>
    <t>Životnosť (vrátane výmeny)</t>
  </si>
  <si>
    <t>Nevyhnutnosť výmeny</t>
  </si>
  <si>
    <t>Zostávajúca životnosť v %*</t>
  </si>
  <si>
    <t>Infraštrukturálny prvok</t>
  </si>
  <si>
    <t xml:space="preserve">Zostatková hodnota na základe finančných peňažných tokoch </t>
  </si>
  <si>
    <t>BEZ PROJEKTU</t>
  </si>
  <si>
    <t>S PROJEKTOM</t>
  </si>
  <si>
    <t>Celkom (diskontované)</t>
  </si>
  <si>
    <t>Rast HDP (%)</t>
  </si>
  <si>
    <t>1.2 Investičné náklady (EUR) - ekonomické</t>
  </si>
  <si>
    <t>Peňažné toky</t>
  </si>
  <si>
    <t>Čisté peňažné toky</t>
  </si>
  <si>
    <t>Ekonomická čistá súčasná hodnota investície (ENPV)</t>
  </si>
  <si>
    <t>Ekonomická vnútorná miera návratnosti (EIRR)</t>
  </si>
  <si>
    <t>Inkrementálne (PRÍRASTKOVÉ)</t>
  </si>
  <si>
    <t>Zostatková hodnota na základe socio-ekonomických peňažných tokoch</t>
  </si>
  <si>
    <t>Rezerva na nepredvídané výdavky</t>
  </si>
  <si>
    <t>Celkové investičné náklady</t>
  </si>
  <si>
    <t>Všeobecné parametre</t>
  </si>
  <si>
    <t>Celkové peňažné toky</t>
  </si>
  <si>
    <t>.......</t>
  </si>
  <si>
    <t>........</t>
  </si>
  <si>
    <t>Iné služby (Technická pomoc, Publicita, Externé riadenie)</t>
  </si>
  <si>
    <t>DPH</t>
  </si>
  <si>
    <t>*DPH sa neaplikuje pri niektorých položkách (pozemky)</t>
  </si>
  <si>
    <t>3.1 Prevádzkové výdavky</t>
  </si>
  <si>
    <t>Celkové prevádzkové výdavky</t>
  </si>
  <si>
    <t>Celkové iné špecifické prevádzkové výdavky</t>
  </si>
  <si>
    <t>Iné príjmy</t>
  </si>
  <si>
    <t>Iné špecifické výdavky</t>
  </si>
  <si>
    <t>3.2 Prevádzkové výdavky</t>
  </si>
  <si>
    <t>3.3  Prevádzkové výdavky</t>
  </si>
  <si>
    <t>Prevádzkové výdavky</t>
  </si>
  <si>
    <t>Investičné výdavky</t>
  </si>
  <si>
    <t>Smrteľné zranenie</t>
  </si>
  <si>
    <t>Ťažké zranenie</t>
  </si>
  <si>
    <t>Ľahké zranenie</t>
  </si>
  <si>
    <t>Obdobie prevádzky v rámci referenčného obdobia</t>
  </si>
  <si>
    <t>Personálne výdavky</t>
  </si>
  <si>
    <t>Materiál a ostané zdroje</t>
  </si>
  <si>
    <t>Auto</t>
  </si>
  <si>
    <t>Rozdelenie cestovania podľa účelu cesty</t>
  </si>
  <si>
    <t>Dochádzanie 
do práce</t>
  </si>
  <si>
    <t>Iné (súkromné)</t>
  </si>
  <si>
    <t>Mestská hromadná doprava</t>
  </si>
  <si>
    <t>Inflácia</t>
  </si>
  <si>
    <t>CPI - ročná % zmena</t>
  </si>
  <si>
    <t>Index pre úpravu cenovej úrovne</t>
  </si>
  <si>
    <t>Príručka CBA, Tabuľka 25</t>
  </si>
  <si>
    <t>Príručka CBA, Tabuľka 23</t>
  </si>
  <si>
    <t>Autobusy</t>
  </si>
  <si>
    <t>Príručka CBA, Tabuľka 26</t>
  </si>
  <si>
    <t>Typ pozemnej komunikácie</t>
  </si>
  <si>
    <t>2.1 Zostatková hodnota na základe životnosti infraštruktrálnych prvkov (alebo tzv. účtovné odpisy)</t>
  </si>
  <si>
    <t>finančná</t>
  </si>
  <si>
    <t>ekonomická</t>
  </si>
  <si>
    <t>2.2 Zostatková hodnota ako čistá súčasná hodnota peňažných tokov zostávajúcej životnosti po uplynutí referenčného obdobia</t>
  </si>
  <si>
    <t>pozn.: výpočet môže vyžadovať pomocný hárok resp. sa výpočet môže uviesť nižšie v tomto hárku</t>
  </si>
  <si>
    <t>Príručka CBA, Tabuľka 32</t>
  </si>
  <si>
    <t xml:space="preserve"> - Základné číslovanie hárkov je potrebné dodržať, avšak pre výpočet hodnôt je možné prídávať pomocné hárky (napr. pre výpočet ocenenia času sa pridá hárok 07-A Ocenenie času a pod.)</t>
  </si>
  <si>
    <t>Príručka CBA, Tabuľka 19</t>
  </si>
  <si>
    <t>Očakávaný rast HDP (%)</t>
  </si>
  <si>
    <t>nový tunel</t>
  </si>
  <si>
    <t>existujúca cesta s potrebou rekonštrukcie (asfaltový povrch)</t>
  </si>
  <si>
    <t>existujúca cesta s potrebou rekonštrukcie (betónový povrch)</t>
  </si>
  <si>
    <t>existujúci most (stavebný stav 5 a horšie)</t>
  </si>
  <si>
    <t>pôvodná cesta s potrebou rekonštrukcie odľahčená (asfaltový povrch)</t>
  </si>
  <si>
    <t>pôvodná cesta s potrebou rekonštrukcie odľahčená (betónový povrch)</t>
  </si>
  <si>
    <t>existujúci most (stavebný stav 5 a horšie) odľahčený</t>
  </si>
  <si>
    <t>nová cesta alebo existujúca cesta v dobrom stave (asfaltový povrch)</t>
  </si>
  <si>
    <t>nová cesta alebo existujúca cesta v dobrom stave (betónový povrch)</t>
  </si>
  <si>
    <t>nový most alebo existujúci most v dobrom stave</t>
  </si>
  <si>
    <t>Stavebný objekt</t>
  </si>
  <si>
    <t>EUR/m²/rok</t>
  </si>
  <si>
    <t>Príručka CBA, Tabuľka 5</t>
  </si>
  <si>
    <t>! JC sa aplikujú pre každý rok prevádzky projektu v rámci referenčného obdobia</t>
  </si>
  <si>
    <t>Kategória vozidla</t>
  </si>
  <si>
    <t>Pohonné hmoty - Nafta</t>
  </si>
  <si>
    <t>Príručka CBA, časť 5.2.1</t>
  </si>
  <si>
    <t>Pohonné hmoty - Benzín</t>
  </si>
  <si>
    <t>Agregovaný fiškálny konverzný faktor</t>
  </si>
  <si>
    <t>! Pri použití konverzných faktorov je potrebné rozdeliť investičné a prevádzkové výdavky podľa výrobných faktorov</t>
  </si>
  <si>
    <t>(personálne výdavky XY%, pohonné hmoty - nafta XY%, pohonné hmoty - benzín XY%, materiál a ostatné zdroje XY%, SPOLU 100%)</t>
  </si>
  <si>
    <t>! Agregovaný konverzný faktor je možné aplikovať priamo na stanovené investičné a prevádzkové výdavky</t>
  </si>
  <si>
    <t>Priemerná obsadenosť cestných vozidiel v osobnej doprave</t>
  </si>
  <si>
    <t>Autobus (nie MHD)</t>
  </si>
  <si>
    <t>Osobné autá (vrátane motocyklov)</t>
  </si>
  <si>
    <t>Vlaky</t>
  </si>
  <si>
    <t>Dochádzanie do práce</t>
  </si>
  <si>
    <t>Súkromné cesty</t>
  </si>
  <si>
    <t>Hodnota času cestovania v EUR</t>
  </si>
  <si>
    <t xml:space="preserve">Tovar s nízkou hodnotou </t>
  </si>
  <si>
    <t xml:space="preserve">Bežný tovar </t>
  </si>
  <si>
    <t>Podiel komodity na preprave</t>
  </si>
  <si>
    <t>Typ komodity</t>
  </si>
  <si>
    <t>Priemerné množstvo tovaru na jedno SNV/ŤNV (v tonách)</t>
  </si>
  <si>
    <t>Hodnota času tovaru na jedno SNV/ŤNV (v EUR)</t>
  </si>
  <si>
    <t>Rýchlosti</t>
  </si>
  <si>
    <t>Osobné vozidlá (benzín)</t>
  </si>
  <si>
    <t>Osobné vozidlá (nafta)</t>
  </si>
  <si>
    <t>Ľahké nákladné vozidlá</t>
  </si>
  <si>
    <t>Stredne ťažké nákladné vozidlá</t>
  </si>
  <si>
    <t>Ťažké nákladné vozidlá</t>
  </si>
  <si>
    <t>Benzín</t>
  </si>
  <si>
    <t>Nafta</t>
  </si>
  <si>
    <t>Skladba osobných áut podľa PHM</t>
  </si>
  <si>
    <t>!Neupravuje sa o rast HDP</t>
  </si>
  <si>
    <t>Priemerná spotreba pohonných hmôt v závislosti od kategórie vozidla a rýchlosti v litroch/km</t>
  </si>
  <si>
    <t>Dodatočná spotreba pohonných hmôt v závislosti od kategórie vozidla a rýchlostného obmedzenia v litroch</t>
  </si>
  <si>
    <t>Rýchlostné obmedzenie</t>
  </si>
  <si>
    <t>Príručka CBA, tabuľka 27</t>
  </si>
  <si>
    <t>JC pohonných hmôt pre použitie v ekonomickej analýze</t>
  </si>
  <si>
    <t>v EUR</t>
  </si>
  <si>
    <t>!JC sa neeskalujú a neupravujú o rast HDP</t>
  </si>
  <si>
    <t>Príručka CBA, časť 5.2.2.4</t>
  </si>
  <si>
    <t>EUR/km</t>
  </si>
  <si>
    <t>EUR/hod.</t>
  </si>
  <si>
    <t>Priemerné náklady na prevádzku cestných vozidiel</t>
  </si>
  <si>
    <t>Príručka CBA, Tabuľka 28</t>
  </si>
  <si>
    <t>! Do 3,5t</t>
  </si>
  <si>
    <t>! Nad 3,5t do 12t</t>
  </si>
  <si>
    <t>! Nad 12t</t>
  </si>
  <si>
    <t>Relatívna miera bezpečnosti navrhovanej pozemnej komunikácie podľa typu a podľa kategórie zranenia na 100 miliónov vozidlových km</t>
  </si>
  <si>
    <t>1+1, obchvaty miest a obcí v extraviláne
(2-pruh, prevažujú mimoúrovňové a okružné križovatky, max. 90 km/h)</t>
  </si>
  <si>
    <t>1+2 resp. 2+1, cesty v extraviláne
(3-pruh alebo prídavný pruh pre pomalé vozidlá, max. 90 km/h)</t>
  </si>
  <si>
    <t>2+2, cesty v extraviláne smerovo nerozdelené
(4-pruh, úrovňové stykové križovatky, max 100 km/h)</t>
  </si>
  <si>
    <t>2+2, cesty v extraviláne smerovo rozdelené
(4-pruh, mimoúrovňové križovatky, max 100 km/h)</t>
  </si>
  <si>
    <t>1+1 rýchlostné cesty/diaľnice v polovičnom profile
(2-pruh, 80-100 km/h)</t>
  </si>
  <si>
    <t>2+2 rýchlostné cesty v plnom profile
(4-pruh, max. 130 km/h)</t>
  </si>
  <si>
    <t>2+2 diaľnice v plnom profile
(4-pruh, max. 130 km/h)</t>
  </si>
  <si>
    <t>!Hodnoty už sú upravené o korekčné faktory pre neohlásené dopravné nehody</t>
  </si>
  <si>
    <t>Jednotkové náklady plynúce z dopravných nehôd, podľa kategórie zranenia v EUR</t>
  </si>
  <si>
    <t>Údaje o hustote jednotlivých palív</t>
  </si>
  <si>
    <t>Zemný plyn</t>
  </si>
  <si>
    <t>kg/liter</t>
  </si>
  <si>
    <t>Hodnota</t>
  </si>
  <si>
    <t>Jednotka</t>
  </si>
  <si>
    <t>kg/m3</t>
  </si>
  <si>
    <t>Príručka CBA, časť 5.2.2.6</t>
  </si>
  <si>
    <t>NMVOC</t>
  </si>
  <si>
    <r>
      <t>PM</t>
    </r>
    <r>
      <rPr>
        <vertAlign val="subscript"/>
        <sz val="8"/>
        <rFont val="Arial"/>
        <family val="2"/>
        <charset val="238"/>
      </rPr>
      <t>2,5</t>
    </r>
  </si>
  <si>
    <r>
      <t>NO</t>
    </r>
    <r>
      <rPr>
        <vertAlign val="subscript"/>
        <sz val="8"/>
        <rFont val="Arial"/>
        <family val="2"/>
        <charset val="238"/>
      </rPr>
      <t>X</t>
    </r>
  </si>
  <si>
    <r>
      <t>SO</t>
    </r>
    <r>
      <rPr>
        <vertAlign val="subscript"/>
        <sz val="8"/>
        <rFont val="Arial"/>
        <family val="2"/>
        <charset val="238"/>
      </rPr>
      <t>2</t>
    </r>
  </si>
  <si>
    <r>
      <t>NH</t>
    </r>
    <r>
      <rPr>
        <vertAlign val="subscript"/>
        <sz val="8"/>
        <rFont val="Arial"/>
        <family val="2"/>
        <charset val="238"/>
      </rPr>
      <t>3</t>
    </r>
  </si>
  <si>
    <t>Ľahké nákladné vozidlá (nafta)</t>
  </si>
  <si>
    <t>Stredne ťažké nákladné vozidlá (nafta)</t>
  </si>
  <si>
    <t>Ťažké nákladné vozidlá (nafta)</t>
  </si>
  <si>
    <t>Autobusy (nafta)</t>
  </si>
  <si>
    <t>Príručka CBA, tabuľka 35</t>
  </si>
  <si>
    <t>Náklady znečisťujúcich látok z dopravy (EUR/kg) podľa typu látky a územia</t>
  </si>
  <si>
    <r>
      <t>PM</t>
    </r>
    <r>
      <rPr>
        <vertAlign val="subscript"/>
        <sz val="8"/>
        <rFont val="Arial"/>
        <family val="2"/>
        <charset val="238"/>
      </rPr>
      <t>2,5</t>
    </r>
    <r>
      <rPr>
        <sz val="8"/>
        <rFont val="Arial"/>
        <family val="2"/>
      </rPr>
      <t xml:space="preserve"> - Extravilán, intravilány obcí a miest</t>
    </r>
  </si>
  <si>
    <r>
      <t>PM</t>
    </r>
    <r>
      <rPr>
        <vertAlign val="subscript"/>
        <sz val="8"/>
        <rFont val="Arial"/>
        <family val="2"/>
        <charset val="238"/>
      </rPr>
      <t>2,5</t>
    </r>
    <r>
      <rPr>
        <sz val="8"/>
        <rFont val="Arial"/>
        <family val="2"/>
      </rPr>
      <t xml:space="preserve"> - Centrum miest</t>
    </r>
  </si>
  <si>
    <t>NMVOC - Všetky územia</t>
  </si>
  <si>
    <r>
      <t>NH</t>
    </r>
    <r>
      <rPr>
        <vertAlign val="subscript"/>
        <sz val="8"/>
        <rFont val="Arial"/>
        <family val="2"/>
        <charset val="238"/>
      </rPr>
      <t>3</t>
    </r>
    <r>
      <rPr>
        <sz val="8"/>
        <rFont val="Arial"/>
        <family val="2"/>
      </rPr>
      <t xml:space="preserve"> - Všetky územia</t>
    </r>
  </si>
  <si>
    <r>
      <t>SO</t>
    </r>
    <r>
      <rPr>
        <vertAlign val="subscript"/>
        <sz val="8"/>
        <rFont val="Arial"/>
        <family val="2"/>
        <charset val="238"/>
      </rPr>
      <t>2</t>
    </r>
    <r>
      <rPr>
        <sz val="8"/>
        <rFont val="Arial"/>
        <family val="2"/>
      </rPr>
      <t xml:space="preserve"> - Všetky územia</t>
    </r>
  </si>
  <si>
    <r>
      <t>NO</t>
    </r>
    <r>
      <rPr>
        <vertAlign val="subscript"/>
        <sz val="8"/>
        <rFont val="Arial"/>
        <family val="2"/>
        <charset val="238"/>
      </rPr>
      <t>X</t>
    </r>
    <r>
      <rPr>
        <sz val="8"/>
        <rFont val="Arial"/>
        <family val="2"/>
      </rPr>
      <t xml:space="preserve"> - Centrum miest</t>
    </r>
  </si>
  <si>
    <r>
      <t>NO</t>
    </r>
    <r>
      <rPr>
        <vertAlign val="subscript"/>
        <sz val="8"/>
        <rFont val="Arial"/>
        <family val="2"/>
        <charset val="238"/>
      </rPr>
      <t>X</t>
    </r>
    <r>
      <rPr>
        <sz val="8"/>
        <rFont val="Arial"/>
        <family val="2"/>
      </rPr>
      <t xml:space="preserve"> - Extravilán, intravilány obcí a miest</t>
    </r>
  </si>
  <si>
    <t>Služobné cesty</t>
  </si>
  <si>
    <t>Príručka CBA, tabuľka 37</t>
  </si>
  <si>
    <t>Emisné faktory znečisťujúcich látok pre cestné vozidlá (g/kg)</t>
  </si>
  <si>
    <t>Emisné faktory skleníkových plynov pre cestné vozidlá (g/kg)</t>
  </si>
  <si>
    <r>
      <t>CO</t>
    </r>
    <r>
      <rPr>
        <vertAlign val="subscript"/>
        <sz val="8"/>
        <rFont val="Arial"/>
        <family val="2"/>
        <charset val="238"/>
      </rPr>
      <t>2</t>
    </r>
  </si>
  <si>
    <r>
      <t>CH</t>
    </r>
    <r>
      <rPr>
        <vertAlign val="subscript"/>
        <sz val="8"/>
        <rFont val="Arial"/>
        <family val="2"/>
        <charset val="238"/>
      </rPr>
      <t>4</t>
    </r>
  </si>
  <si>
    <r>
      <t>N</t>
    </r>
    <r>
      <rPr>
        <vertAlign val="subscript"/>
        <sz val="8"/>
        <rFont val="Arial"/>
        <family val="2"/>
        <charset val="238"/>
      </rPr>
      <t>2</t>
    </r>
    <r>
      <rPr>
        <sz val="8"/>
        <rFont val="Arial"/>
        <family val="2"/>
        <charset val="238"/>
      </rPr>
      <t>O</t>
    </r>
  </si>
  <si>
    <t>Príručka CBA, tabuľka 38</t>
  </si>
  <si>
    <r>
      <t>CO</t>
    </r>
    <r>
      <rPr>
        <vertAlign val="subscript"/>
        <sz val="8"/>
        <color rgb="FF000000"/>
        <rFont val="Arial"/>
        <family val="2"/>
        <charset val="238"/>
      </rPr>
      <t>2</t>
    </r>
    <r>
      <rPr>
        <sz val="8"/>
        <color rgb="FF000000"/>
        <rFont val="Arial"/>
        <family val="2"/>
      </rPr>
      <t>e</t>
    </r>
  </si>
  <si>
    <t>Príručka CBA, časť 5.2.2.7</t>
  </si>
  <si>
    <t>Jednotková cena tony CO2e</t>
  </si>
  <si>
    <r>
      <t>CO</t>
    </r>
    <r>
      <rPr>
        <vertAlign val="subscript"/>
        <sz val="8"/>
        <color rgb="FF000000"/>
        <rFont val="Arial"/>
        <family val="2"/>
        <charset val="238"/>
      </rPr>
      <t>2</t>
    </r>
    <r>
      <rPr>
        <sz val="8"/>
        <color rgb="FF000000"/>
        <rFont val="Arial"/>
        <family val="2"/>
      </rPr>
      <t>e (pre rok 2020 = 86 EUR/t)</t>
    </r>
  </si>
  <si>
    <t>Jednotkové náklady hluku (v EUR na vozidlový kilometer) podľa kategórie vozidla a územia</t>
  </si>
  <si>
    <t>Osobné vozidlá - centrum mesta</t>
  </si>
  <si>
    <t>Ľahké nákladné vozidlá - centrum mesta</t>
  </si>
  <si>
    <t>Stredne ťažké nákladné vozidlá - centrum mesta</t>
  </si>
  <si>
    <t>Ťažké nákladné vozidlá- centrum mesta</t>
  </si>
  <si>
    <t>Autobusy- centrum mesta</t>
  </si>
  <si>
    <t>Osobné vozidlá - intravilán mesta</t>
  </si>
  <si>
    <t>Ľahké nákladné vozidlá - intravilán mesta</t>
  </si>
  <si>
    <t>Stredne ťažké nákladné vozidlá - intravilán mesta</t>
  </si>
  <si>
    <t>Ťažké nákladné vozidlá - intravilán mesta</t>
  </si>
  <si>
    <t>Autobusy - intravilán mesta</t>
  </si>
  <si>
    <t>Osobné vozidlá - intravilán obce</t>
  </si>
  <si>
    <t>Ľahké nákladné vozidlá - intravilán obce</t>
  </si>
  <si>
    <t>Stredne ťažké nákladné vozidlá - intravilán obce</t>
  </si>
  <si>
    <t>Ťažké nákladné vozidlá - intravilán obce</t>
  </si>
  <si>
    <t>Autobusy - intravilán obce</t>
  </si>
  <si>
    <t>Príručka CBA, tabuľka 42</t>
  </si>
  <si>
    <t>Iné služby</t>
  </si>
  <si>
    <t>Rezerva na nepredvídateľné výdavky</t>
  </si>
  <si>
    <t>Položka sa stanovuje a uplatňuje v súlade s pravidlami oprávnenosti príslušného programu;</t>
  </si>
  <si>
    <r>
      <t xml:space="preserve">Použitý konverzný faktor: </t>
    </r>
    <r>
      <rPr>
        <b/>
        <sz val="8"/>
        <rFont val="Arial"/>
        <family val="2"/>
        <charset val="238"/>
      </rPr>
      <t>agregovaný</t>
    </r>
  </si>
  <si>
    <t>(spracovateľ môže stanoviť odlišné konverzné faktory na základe rôznej miery zastúpenia výrobných faktorov na investícií)</t>
  </si>
  <si>
    <t>1.1 Investičné výdavky (EUR) - finančné</t>
  </si>
  <si>
    <t>Celkové investičné výdavky vrátane DPH</t>
  </si>
  <si>
    <t>Oprávnené investičné výdavky</t>
  </si>
  <si>
    <t>Neoprávnené investičné výdavky</t>
  </si>
  <si>
    <t>Prevádzkové príjmy</t>
  </si>
  <si>
    <t>Oprávnené výdavky</t>
  </si>
  <si>
    <t>Časový horizont (referenčné obdobie)</t>
  </si>
  <si>
    <t>Začiatočný rok referenčného obdobia</t>
  </si>
  <si>
    <t>Rok uvedenia do prevádzky</t>
  </si>
  <si>
    <t>Posledný rok referenčného obdobia</t>
  </si>
  <si>
    <t>3.4 Prevádzkové náklady (ekonomické)</t>
  </si>
  <si>
    <t>Iné špecifické náklady</t>
  </si>
  <si>
    <t>Celkové iné špecifické prevádzkové náklady</t>
  </si>
  <si>
    <t>Celkové prevádzkové náklady</t>
  </si>
  <si>
    <t>(diskontované)</t>
  </si>
  <si>
    <t>Vlastné financovanie investície</t>
  </si>
  <si>
    <t>Splátky úverov (vrátane úrokov)</t>
  </si>
  <si>
    <t>6.3 Finančná udržateľnosť (prírastková)</t>
  </si>
  <si>
    <t>z toho: Príspevok z fondov EÚ</t>
  </si>
  <si>
    <t>z toho: Verejné zdroje SR</t>
  </si>
  <si>
    <t>! Bez DPH, bez rezervy, bez cenových úprav (valorizácia)</t>
  </si>
  <si>
    <t>Celkové investičné výdavky</t>
  </si>
  <si>
    <t>* bez zahrnutia DPH, rezervy a cenových úprav (valorizácia)</t>
  </si>
  <si>
    <t>5.3 Štruktúra financovania*</t>
  </si>
  <si>
    <t>z toho: Úver**</t>
  </si>
  <si>
    <t>**predpoklad nevyužitia úverových zdrojov, ak naopak, potrebné doplniť čerpanie úveru po rokoch</t>
  </si>
  <si>
    <t>Celkové finančné zdroje</t>
  </si>
  <si>
    <t>Splátky úverov (vrátane úrokov)*</t>
  </si>
  <si>
    <t>Prevádzková dotácia</t>
  </si>
  <si>
    <t>Upravený kumulovaný čistý peňažný tok</t>
  </si>
  <si>
    <t>Prevádzkové výdavky (iba s projektom)</t>
  </si>
  <si>
    <t>Prevádzkové príjmy (iba s projektom)</t>
  </si>
  <si>
    <t>6.4 Finančná udržateľnosť (absolútna pre projektový scenár)</t>
  </si>
  <si>
    <t>Služobná cesta</t>
  </si>
  <si>
    <t>4.1 Príjmy</t>
  </si>
  <si>
    <t>4.2 Príjmy</t>
  </si>
  <si>
    <t>4.3 Príjmy</t>
  </si>
  <si>
    <t>PRÍRASTKOVÉ</t>
  </si>
  <si>
    <t>Čas cestujúcich</t>
  </si>
  <si>
    <t>Výjazd z intravilánu</t>
  </si>
  <si>
    <t>Okružná križovatka mimo obce</t>
  </si>
  <si>
    <t>Križovatka so zastavením v obci</t>
  </si>
  <si>
    <t>Križovatka so zastavením mimo obce</t>
  </si>
  <si>
    <t>Pripojenie na D/RC</t>
  </si>
  <si>
    <t>Okružná križovatka v obci</t>
  </si>
  <si>
    <t>3-pruh</t>
  </si>
  <si>
    <t>1+1obch</t>
  </si>
  <si>
    <t>1+1D/RC</t>
  </si>
  <si>
    <t>RC</t>
  </si>
  <si>
    <t>D</t>
  </si>
  <si>
    <t>2+2rozd</t>
  </si>
  <si>
    <t>2+2neroz</t>
  </si>
  <si>
    <t>Čistý príjem (DNR)</t>
  </si>
  <si>
    <t>Investičné výdavky (DIC)</t>
  </si>
  <si>
    <t>Investičné výdavky - Čistý príjem (Max EE)</t>
  </si>
  <si>
    <t>Finančná medzera (FG)</t>
  </si>
  <si>
    <t>*doplniť splátky úveru (istina+úroky) ak relevantné</t>
  </si>
  <si>
    <t>Typ vozidla</t>
  </si>
  <si>
    <t>EUR/vlkm</t>
  </si>
  <si>
    <t>EUR/vlhod.</t>
  </si>
  <si>
    <t>Trakcia</t>
  </si>
  <si>
    <t>EL</t>
  </si>
  <si>
    <t>Poschodová jednotka</t>
  </si>
  <si>
    <t>Súprava typu Push-pull</t>
  </si>
  <si>
    <t xml:space="preserve">D </t>
  </si>
  <si>
    <t>Motorová jednotka</t>
  </si>
  <si>
    <t>Trakčná nafta</t>
  </si>
  <si>
    <t>liter/vlkm</t>
  </si>
  <si>
    <t>-</t>
  </si>
  <si>
    <t>Trakčná elektrina</t>
  </si>
  <si>
    <t>kWh/vlkm</t>
  </si>
  <si>
    <t>Rýchliková súprava</t>
  </si>
  <si>
    <t>Súprava Osobný vlak</t>
  </si>
  <si>
    <t>Priemerná spotreba osobných železničných koľajových vozidiel</t>
  </si>
  <si>
    <t>Príručka CBA, Tabuľka 33</t>
  </si>
  <si>
    <t>Emisné faktory znečisťujúcich látok pre železničné koľajové vozidlá (g/kg)</t>
  </si>
  <si>
    <t>Traťová lokomotíva</t>
  </si>
  <si>
    <t>Posunovacia lokomotíva</t>
  </si>
  <si>
    <r>
      <t>PM</t>
    </r>
    <r>
      <rPr>
        <b/>
        <vertAlign val="subscript"/>
        <sz val="8"/>
        <rFont val="Arial"/>
        <family val="2"/>
        <charset val="238"/>
      </rPr>
      <t>2,5</t>
    </r>
  </si>
  <si>
    <r>
      <t>NO</t>
    </r>
    <r>
      <rPr>
        <b/>
        <vertAlign val="subscript"/>
        <sz val="8"/>
        <rFont val="Arial"/>
        <family val="2"/>
        <charset val="238"/>
      </rPr>
      <t>X</t>
    </r>
  </si>
  <si>
    <r>
      <t>SO</t>
    </r>
    <r>
      <rPr>
        <b/>
        <vertAlign val="subscript"/>
        <sz val="8"/>
        <rFont val="Arial"/>
        <family val="2"/>
        <charset val="238"/>
      </rPr>
      <t>2</t>
    </r>
  </si>
  <si>
    <r>
      <t>NH</t>
    </r>
    <r>
      <rPr>
        <b/>
        <vertAlign val="subscript"/>
        <sz val="8"/>
        <rFont val="Arial"/>
        <family val="2"/>
        <charset val="238"/>
      </rPr>
      <t>3</t>
    </r>
  </si>
  <si>
    <t>Príručka CBA, tabuľka 36</t>
  </si>
  <si>
    <t>Priemerné ročné jednotkové prevádzkové výdavky (bežné+periodické) pre všetky cesty</t>
  </si>
  <si>
    <t>Emisné faktory skleníkových plynov železničných koľajových vozidiel (tradičné palivá) (g/kg)</t>
  </si>
  <si>
    <r>
      <t>CO</t>
    </r>
    <r>
      <rPr>
        <b/>
        <vertAlign val="subscript"/>
        <sz val="8"/>
        <rFont val="Arial"/>
        <family val="2"/>
        <charset val="238"/>
      </rPr>
      <t>2</t>
    </r>
  </si>
  <si>
    <r>
      <t>CH</t>
    </r>
    <r>
      <rPr>
        <b/>
        <vertAlign val="subscript"/>
        <sz val="8"/>
        <rFont val="Arial"/>
        <family val="2"/>
        <charset val="238"/>
      </rPr>
      <t>4</t>
    </r>
  </si>
  <si>
    <r>
      <t>N</t>
    </r>
    <r>
      <rPr>
        <b/>
        <vertAlign val="subscript"/>
        <sz val="8"/>
        <rFont val="Arial"/>
        <family val="2"/>
        <charset val="238"/>
      </rPr>
      <t>2</t>
    </r>
    <r>
      <rPr>
        <b/>
        <sz val="8"/>
        <rFont val="Arial"/>
        <family val="2"/>
        <charset val="238"/>
      </rPr>
      <t>O</t>
    </r>
  </si>
  <si>
    <t>Sieť vysokého napätia (VN)</t>
  </si>
  <si>
    <t>Sieť stredného napätia (SN)</t>
  </si>
  <si>
    <t>Sieť nízkeho napätia (NN)</t>
  </si>
  <si>
    <t>Emisné faktory (gCO2/kWh) spotreby elektrickej energie</t>
  </si>
  <si>
    <t>Príručka CBA, tabuľka 39</t>
  </si>
  <si>
    <t>Príručka CBA, tabuľka 40</t>
  </si>
  <si>
    <r>
      <t>Konverzné faktory pre CO</t>
    </r>
    <r>
      <rPr>
        <b/>
        <vertAlign val="subscript"/>
        <sz val="8"/>
        <rFont val="Arial"/>
        <family val="2"/>
        <charset val="238"/>
      </rPr>
      <t>2</t>
    </r>
    <r>
      <rPr>
        <b/>
        <sz val="8"/>
        <rFont val="Arial"/>
        <family val="2"/>
        <charset val="238"/>
      </rPr>
      <t>e</t>
    </r>
  </si>
  <si>
    <t>Osobný vlak - centrum mesta</t>
  </si>
  <si>
    <t>Osobný vlak - intravilán mesta</t>
  </si>
  <si>
    <t>Osobný vlak - intravilán obce</t>
  </si>
  <si>
    <t>Nákladný vlak - centrum mesta</t>
  </si>
  <si>
    <t>Nákladný vlak - intravilán mesta</t>
  </si>
  <si>
    <t>Nákladný vlak - intravilán obce</t>
  </si>
  <si>
    <t>Príručka CBA, Tabuľka 31</t>
  </si>
  <si>
    <t>Parametre pre kvantifikáciu nerealizovaných nákladov plynúcich z cestnej dopravy v prípade "modal shift"</t>
  </si>
  <si>
    <t>! Potrebné upraviť o konverzný faktor</t>
  </si>
  <si>
    <t xml:space="preserve">Stroje a zariadenia </t>
  </si>
  <si>
    <t>Rok začiatku</t>
  </si>
  <si>
    <t>Rok dodania</t>
  </si>
  <si>
    <t>Údržba a oprava</t>
  </si>
  <si>
    <t>Čistenie</t>
  </si>
  <si>
    <t>Trakčná elektrina energia</t>
  </si>
  <si>
    <t>Správa a réžia</t>
  </si>
  <si>
    <t xml:space="preserve">Ostatné </t>
  </si>
  <si>
    <t>Poplatok za ŽDC</t>
  </si>
  <si>
    <t>Mzdy personálu</t>
  </si>
  <si>
    <t>Priemerné prevádzkové výdavky na vlakové súpravy/jednotky podľa kategórií</t>
  </si>
  <si>
    <t>Diaľková doprava</t>
  </si>
  <si>
    <t>Regionálna doprava</t>
  </si>
  <si>
    <t>Doprava celkom</t>
  </si>
  <si>
    <t>Osobná železničná doprava - príjmy z cestovného</t>
  </si>
  <si>
    <t>Sadzba v EUR/osobokilometer</t>
  </si>
  <si>
    <t>*</t>
  </si>
  <si>
    <t xml:space="preserve">Kategória investičných výdavkov* </t>
  </si>
  <si>
    <t>Stroje a zariadenia</t>
  </si>
  <si>
    <t>Vozidlá</t>
  </si>
  <si>
    <t>Celkové investičné výdavky vrátane rezervy</t>
  </si>
  <si>
    <t>Oprávnené investičné výdavky bez DPH, rezervy</t>
  </si>
  <si>
    <t>Výdavky na doplnkové vybavenie vozdiel, napr. ETCS;</t>
  </si>
  <si>
    <t>Výdavky na nákup nových koľajových vozidiel, revitalizáciu existujúcich, leasing vozidiel a pod., v delení podľa typu;</t>
  </si>
  <si>
    <t>Výdavky súvisiace so štúdiami, publicita, externé riadenie a technická pomoc a pod.;</t>
  </si>
  <si>
    <t>pozn.: v prípade, že niektoré infraštrukturálne prvky budú musieť byť vymenené, zostatková hodnota by mala byť vypočítaná z posledných vynaložených investičných výdavkov.</t>
  </si>
  <si>
    <t>Životnosť v rokoch*</t>
  </si>
  <si>
    <t>* životnosť je možné upraviť podľa údajov od dodávateľa</t>
  </si>
  <si>
    <t>Celkové prevádzkové výdavky na údržbu vozidiel</t>
  </si>
  <si>
    <t>Výmeny/Obnovy/Generálne opravy</t>
  </si>
  <si>
    <t>Celkové prevádzkové náklady na údržbu vozidiel</t>
  </si>
  <si>
    <t>Prevádzkové výdavky vozidiel</t>
  </si>
  <si>
    <t>Príjmy z cestovného</t>
  </si>
  <si>
    <t>Táto jednoduchá štruktúra je vhodná pre projekty, pri ktorých sa v scenároch BEZ PROJEKTU a S PROJEKTOM nemení počet cestujúcich</t>
  </si>
  <si>
    <t>V prípade nových cestujúcich (modal split) sa primearne použijú ustanovenia Príručky (napr. pravidlo polovice) a štruktúra hárku sa môže upraviť</t>
  </si>
  <si>
    <t>11.1 Spoločenská čistá súčasná hodnota investície</t>
  </si>
  <si>
    <t xml:space="preserve">Od roku </t>
  </si>
  <si>
    <t>je projekt v prevádzke, až od tohto roku je potrebné zohľadniť rozdielne vstupy pre scenár BEZ PROJEKTU a scenár S PROJEKTOM</t>
  </si>
  <si>
    <t xml:space="preserve"> - Pre účely kvantifikácie citlivosti a rizika sa pridajú ďalšie hárky s príslušným označením</t>
  </si>
  <si>
    <t xml:space="preserve"> - Bunky, do ktorých je požadované vloženie vstupných dát od spracovateľa CBA sú zvýraznené modrou farbou </t>
  </si>
  <si>
    <t>(môže byť modifikované v prípade dodania na etapy)</t>
  </si>
  <si>
    <r>
      <t xml:space="preserve"> - Spracovateľ je povinný doplniť aj údaje do </t>
    </r>
    <r>
      <rPr>
        <sz val="8"/>
        <color rgb="FF3399FF"/>
        <rFont val="Arial"/>
        <family val="2"/>
        <charset val="238"/>
      </rPr>
      <t>modro-vyznačených hárkov</t>
    </r>
    <r>
      <rPr>
        <sz val="8"/>
        <rFont val="Arial"/>
        <family val="2"/>
        <charset val="238"/>
      </rPr>
      <t xml:space="preserve"> podľa pokynov v nich uvedených</t>
    </r>
  </si>
  <si>
    <t>Vozidlo typu SpDD</t>
  </si>
  <si>
    <t>Splátky úveru</t>
  </si>
  <si>
    <t>spolu</t>
  </si>
  <si>
    <t>SpDD</t>
  </si>
  <si>
    <t>Cenová inflácia</t>
  </si>
  <si>
    <t>Percentuálna zmena, pokiaľ nie je uvedené inak</t>
  </si>
  <si>
    <t>skut.</t>
  </si>
  <si>
    <t>prog.</t>
  </si>
  <si>
    <t>Spotrebiteľská inflácia</t>
  </si>
  <si>
    <t xml:space="preserve">Spotrebiteľská inflácia (CPI) </t>
  </si>
  <si>
    <t xml:space="preserve">   Inflácia regulovaných cien</t>
  </si>
  <si>
    <t>Jadrová inflácia</t>
  </si>
  <si>
    <t xml:space="preserve">   Inflácia cien potravín</t>
  </si>
  <si>
    <t>Čistá inflácia</t>
  </si>
  <si>
    <t xml:space="preserve">   Inflácia cien palív</t>
  </si>
  <si>
    <t xml:space="preserve">   Inflácia obchodovateľných tovarov</t>
  </si>
  <si>
    <t xml:space="preserve">   Inflácia trhových služieb</t>
  </si>
  <si>
    <t xml:space="preserve">Spotrebiteľská inflácia (HICP) </t>
  </si>
  <si>
    <t>Dôchodcovská inflácia</t>
  </si>
  <si>
    <t>Nízkopríjmová inflácia (apríl (t)/apríl (t-1))</t>
  </si>
  <si>
    <t>Cenové deflátory</t>
  </si>
  <si>
    <t>Deflátor hrubého domáceho produktu</t>
  </si>
  <si>
    <t>Deflátor súkromnej spotreby</t>
  </si>
  <si>
    <t>Deflátor vládnej spotreby</t>
  </si>
  <si>
    <t>Deflátor tvorby fixného kapitálu</t>
  </si>
  <si>
    <t>Deflátor exportu tovarov a služieb</t>
  </si>
  <si>
    <t>Deflátor importu tovarov a služieb</t>
  </si>
  <si>
    <t>Terms of trade tovarov a služieb</t>
  </si>
  <si>
    <t>Aktuálna váha jednotlivých zložiek na indexe spotrebiteľských cien (CPI)</t>
  </si>
  <si>
    <t>Regulované ceny</t>
  </si>
  <si>
    <t>Ceny potravín</t>
  </si>
  <si>
    <t>Ceny palív</t>
  </si>
  <si>
    <t>Obchodovateľné tovary</t>
  </si>
  <si>
    <t>Trhové služby</t>
  </si>
  <si>
    <t>Hrubý domáci produkt</t>
  </si>
  <si>
    <t>HDP v stálych cenách</t>
  </si>
  <si>
    <t>Hrubý domáci produkt (mld. €)</t>
  </si>
  <si>
    <t xml:space="preserve">   rast</t>
  </si>
  <si>
    <t>Spotreba domácností (mld. €)</t>
  </si>
  <si>
    <t>Spotreba NISD (mld. €)</t>
  </si>
  <si>
    <t>Vládna spotreba (mld. €)</t>
  </si>
  <si>
    <t>Tvorba fixného kapitálu (mld. €)</t>
  </si>
  <si>
    <t>Export tovarov a služieb (mld. €)</t>
  </si>
  <si>
    <t>Import tovarov a služieb (mld. €)</t>
  </si>
  <si>
    <t>HDP v bežných cenách</t>
  </si>
  <si>
    <t>HDP - príspevok k rastu</t>
  </si>
  <si>
    <t>Domáci dopyt</t>
  </si>
  <si>
    <t>Súkromná spotreba</t>
  </si>
  <si>
    <t>Vládna spotreba</t>
  </si>
  <si>
    <t>Tvorba fixného kapitálu</t>
  </si>
  <si>
    <t>Zmena stavu zásob</t>
  </si>
  <si>
    <t>Zahraničný dopyt</t>
  </si>
  <si>
    <t>THFK - príspevok k rastu</t>
  </si>
  <si>
    <t>Súkromné investície</t>
  </si>
  <si>
    <t>Jadrové investície</t>
  </si>
  <si>
    <t>EU fondy</t>
  </si>
  <si>
    <t>Plán obnovy a odolnosti</t>
  </si>
  <si>
    <t>Volkswagen</t>
  </si>
  <si>
    <t>Volvo</t>
  </si>
  <si>
    <t>Vládne investície</t>
  </si>
  <si>
    <t>2023-2022</t>
  </si>
  <si>
    <t>2023-2021</t>
  </si>
  <si>
    <t>2023-2020</t>
  </si>
  <si>
    <t>2023-2019</t>
  </si>
  <si>
    <t>2023-2018</t>
  </si>
  <si>
    <t>2023-2017</t>
  </si>
  <si>
    <t>2023-2016</t>
  </si>
  <si>
    <t>2023-2015</t>
  </si>
  <si>
    <t>2023-2014</t>
  </si>
  <si>
    <t>2023-2013</t>
  </si>
  <si>
    <t>2023-2012</t>
  </si>
  <si>
    <t>2023-2011</t>
  </si>
  <si>
    <t>2023-2010</t>
  </si>
  <si>
    <t>2023-2009</t>
  </si>
  <si>
    <t>Príručka CBA, Tabuľka 16, CÚ 2023</t>
  </si>
  <si>
    <t>Príručka CBA, Tabuľka 23, CÚ 2023</t>
  </si>
  <si>
    <t>Príručka CBA, tabuľka 41, CÚ 2023</t>
  </si>
  <si>
    <t>Priemerná životnosť po skončení referenčného obdobia (počet rokov) - finančná analýza</t>
  </si>
  <si>
    <t>Zostatková hodnota na základe finančných peňažných tokov</t>
  </si>
  <si>
    <t xml:space="preserve">Peňažný tok - náklady na prevádzku a údržbu </t>
  </si>
  <si>
    <t xml:space="preserve">Peňažný tok - príjmy </t>
  </si>
  <si>
    <t>Súčasná hodnota peňažných tokov</t>
  </si>
  <si>
    <t>Priemerná životnosť po skončení referenčného obdobia (počet rokov) - ekonomická analýza</t>
  </si>
  <si>
    <t>Zostatková hodnota na základe ekonomických peňažných tokov</t>
  </si>
  <si>
    <t>Prevádzkové náklady vozidiel</t>
  </si>
  <si>
    <t>S/I</t>
  </si>
  <si>
    <t>7.1 Vnímaná úspora času cestujúcich (hodiny)</t>
  </si>
  <si>
    <t>Vnímaná úspora času, z toho:</t>
  </si>
  <si>
    <t>Vnímaná úspora času v peňažnom vyjadrení (v EUR)</t>
  </si>
  <si>
    <t>Celkom vnímaná úspora času cestujúcich v peňažnom vyjadrení</t>
  </si>
  <si>
    <t>Rok &gt;&gt;&gt;</t>
  </si>
  <si>
    <t>Sumárna tabuľka</t>
  </si>
  <si>
    <t xml:space="preserve">Vnímaná úspora času v osobohod.  existujúci cestujúci </t>
  </si>
  <si>
    <t>osobná doprava</t>
  </si>
  <si>
    <t xml:space="preserve">Existujúci cestujúci vlakom </t>
  </si>
  <si>
    <t>Koeficienty</t>
  </si>
  <si>
    <t xml:space="preserve">Existujúci cestujúci </t>
  </si>
  <si>
    <t>Úspora času v osobohod.  existujúci cestujúci</t>
  </si>
  <si>
    <t>Osobná doprava</t>
  </si>
  <si>
    <t>Implementácia projektu</t>
  </si>
  <si>
    <t>dĺžka cesty - železničná doprava  [km]</t>
  </si>
  <si>
    <t>vnímaná úspora času železničná doprava [hod.]</t>
  </si>
  <si>
    <t>Košice &lt;=&gt; Poprad</t>
  </si>
  <si>
    <t>Poprad &lt;=&gt; Liptovský Mikuláš</t>
  </si>
  <si>
    <t>Liptovský Mikuláš &lt;=&gt;  Žilina</t>
  </si>
  <si>
    <t>Žilina &lt;=&gt;  Bratislava hl. st.</t>
  </si>
  <si>
    <t>Čas prípravy vlaku</t>
  </si>
  <si>
    <t>Úspora času prípravy vlaku v stanici, z toho:</t>
  </si>
  <si>
    <t>8.1 Priemerný čas prípravy vlaku v stanici (hodiny)</t>
  </si>
  <si>
    <t>Úspora času na obeh súpravy po realizácií projektu (hod.)</t>
  </si>
  <si>
    <t>Počet spojov ročný</t>
  </si>
  <si>
    <t xml:space="preserve">Košice – Poprad – Žilina – Trenčín – Trnava – Bratislava </t>
  </si>
  <si>
    <t xml:space="preserve">Budapešť – Bratislava – Brno – Praha </t>
  </si>
  <si>
    <t xml:space="preserve"> Bratislava – Viedeň – Salzburg – Innsbruck / Zürich / Mníchov / </t>
  </si>
  <si>
    <t xml:space="preserve">Train Attribute </t>
  </si>
  <si>
    <t>Onboard</t>
  </si>
  <si>
    <t xml:space="preserve">Time mins </t>
  </si>
  <si>
    <t xml:space="preserve">Train Outside Appearance </t>
  </si>
  <si>
    <t xml:space="preserve">Ease of Train Boarding </t>
  </si>
  <si>
    <t xml:space="preserve">Seat Comfort </t>
  </si>
  <si>
    <t xml:space="preserve">Smoothness of Ride </t>
  </si>
  <si>
    <t xml:space="preserve">Quietness </t>
  </si>
  <si>
    <t xml:space="preserve">Heating &amp; Air Conditioning </t>
  </si>
  <si>
    <t xml:space="preserve">Lighting </t>
  </si>
  <si>
    <t xml:space="preserve">Cleanliness </t>
  </si>
  <si>
    <t xml:space="preserve">Grafitti </t>
  </si>
  <si>
    <t xml:space="preserve">On-train Announcements </t>
  </si>
  <si>
    <t xml:space="preserve">Layout &amp; Design </t>
  </si>
  <si>
    <t xml:space="preserve">Sum of Attributes </t>
  </si>
  <si>
    <t xml:space="preserve">Overall Train </t>
  </si>
  <si>
    <t>Source: Douglas Economics, Table 6.6: Value of Train Improvement</t>
  </si>
  <si>
    <r>
      <rPr>
        <b/>
        <sz val="10"/>
        <color theme="1"/>
        <rFont val="Arial"/>
        <family val="2"/>
      </rPr>
      <t>Košice – Poprad – Žilina – Trenčín – Trnava – Bratislava</t>
    </r>
    <r>
      <rPr>
        <sz val="10"/>
        <color theme="1"/>
        <rFont val="Arial"/>
        <family val="2"/>
      </rPr>
      <t xml:space="preserve"> </t>
    </r>
  </si>
  <si>
    <t>od</t>
  </si>
  <si>
    <t>do</t>
  </si>
  <si>
    <t>priemer</t>
  </si>
  <si>
    <t>Priemerný čas potrebný na prípravu súpravy v stanici (preprah rušna, presun/výmena rušnovodiča, výstup/nástup cestujúcich, výmenu vlakovej čaty) (hod.) - Bez projektu</t>
  </si>
  <si>
    <t>Priemerný čas potrebný na prípravu súpravy v stanici (preprah rušna, presun/výmena rušnovodiča, výstup/nástup cestujúcich, výmenu vlakovej čaty) (hod.) - S projektom</t>
  </si>
  <si>
    <t>Plán dopravnej obslužnosti</t>
  </si>
  <si>
    <t>Kategória vlaku</t>
  </si>
  <si>
    <t>Počet spojov 
(denne)</t>
  </si>
  <si>
    <t>Počet spojov 
(okrem denne)</t>
  </si>
  <si>
    <t>Ex</t>
  </si>
  <si>
    <t>EC</t>
  </si>
  <si>
    <t>RJ</t>
  </si>
  <si>
    <t>Bez projektu</t>
  </si>
  <si>
    <t>Počet spojov denne
(relevantných pre projekt)</t>
  </si>
  <si>
    <t>Počet spojov okrem denne
(relevantných pre projekt)</t>
  </si>
  <si>
    <t>Počet spojov ročný
(relevantných pre projekt)</t>
  </si>
  <si>
    <t>S projektom</t>
  </si>
  <si>
    <t>Úspora priemerného času na prípravu súpravy v stanici (hod.)</t>
  </si>
  <si>
    <t>Úspora priemerného času potrebného na prípravu súpravy v stanici (hod.)</t>
  </si>
  <si>
    <t>Priemerný čas potrebný na prípravu súpravy v stanici (hod.) - S projektom</t>
  </si>
  <si>
    <t>Priemerný čas potrebný na prípravu súpravy v stanici (hod.) - Bez projektu</t>
  </si>
  <si>
    <t>Menšie násilné poškodenia</t>
  </si>
  <si>
    <t>Ostatné (IT systemy)</t>
  </si>
  <si>
    <t xml:space="preserve">Prenájom </t>
  </si>
  <si>
    <t>Správa a réžia</t>
  </si>
  <si>
    <t>Čistenie (interier/exterier)</t>
  </si>
  <si>
    <t>Údržba a oprava   (servisná zmluva)</t>
  </si>
  <si>
    <t>Údržba a oprava   (interná/externá)</t>
  </si>
  <si>
    <t>TP</t>
  </si>
  <si>
    <t>Komplexné náklady s prevádzkou</t>
  </si>
  <si>
    <t>ES</t>
  </si>
  <si>
    <t>900vlkm/KD</t>
  </si>
  <si>
    <t>rok</t>
  </si>
  <si>
    <t>Prevádzkové výdavky za rok</t>
  </si>
  <si>
    <t>vlkm rok</t>
  </si>
  <si>
    <t>Priemerné PV za vlkm</t>
  </si>
  <si>
    <t>340KD/KR</t>
  </si>
  <si>
    <t>Súpravy MOV</t>
  </si>
  <si>
    <t>1000vlkm/KD</t>
  </si>
  <si>
    <t>350KD/KR</t>
  </si>
  <si>
    <t>HKV 383RSL</t>
  </si>
  <si>
    <t>Prenájom</t>
  </si>
  <si>
    <t>HKV 350</t>
  </si>
  <si>
    <t xml:space="preserve">     Súpravy z vozňov MOV</t>
  </si>
  <si>
    <t xml:space="preserve">     HKV 383RSL</t>
  </si>
  <si>
    <t xml:space="preserve">     HKV 350</t>
  </si>
  <si>
    <t>Prevádzkové výdavky -  bez projektu</t>
  </si>
  <si>
    <t>Prevádzkové výdavky -  nákup</t>
  </si>
  <si>
    <t>355KD/KR</t>
  </si>
  <si>
    <t>S PROJEKTOM NÁKUP</t>
  </si>
  <si>
    <t>Prevádzkové výdavky -  prenájom</t>
  </si>
  <si>
    <t>S PROJEKTOM PRENÁJOM</t>
  </si>
  <si>
    <t>63. zasadnutie Výboru pre makroekonomické prognózy, 14.6.2023</t>
  </si>
  <si>
    <t>Príručka CBA, Tabuľka 20 (2027 - 2060) + 63. zasadnutie Výboru pre makroekonomické prognózy, 14.6.2023 (2022 - 2027)</t>
  </si>
  <si>
    <t xml:space="preserve">Analýza citlivosti </t>
  </si>
  <si>
    <t>FNPV_C</t>
  </si>
  <si>
    <t xml:space="preserve">zmena FNPV_C 
pri 1% zmene vstupnej premennej
</t>
  </si>
  <si>
    <t xml:space="preserve">zmena FNPV_C 
pri -1% zmene vstupnej premennej
</t>
  </si>
  <si>
    <t>Vstupná premenná:
Investičné výdavky</t>
  </si>
  <si>
    <t>Vstupná premenná:
Prevádzkové výdavky</t>
  </si>
  <si>
    <t>Vstupná premenná:
Prevádzkové príjmy</t>
  </si>
  <si>
    <t>Vstupná premenná:
Zostatková hodnota</t>
  </si>
  <si>
    <t>Analýza citlivosti  (% zmena)</t>
  </si>
  <si>
    <t>Kritická premenná +1%</t>
  </si>
  <si>
    <t>Kritická premenná -1%</t>
  </si>
  <si>
    <t xml:space="preserve">zmena FNPV_C 
pri 5% zmene vstupnej premennej
</t>
  </si>
  <si>
    <t xml:space="preserve">zmena FNPV_C 
pri -5% zmene vstupnej premennej
</t>
  </si>
  <si>
    <t>Kritická premenná +5%</t>
  </si>
  <si>
    <t>Kritická premenná -5%</t>
  </si>
  <si>
    <t xml:space="preserve">zmena FNPV_C 
pri 10% zmene vstupnej premennej
</t>
  </si>
  <si>
    <t xml:space="preserve">zmena FNPV_C 
pri -10% zmene vstupnej premennej
</t>
  </si>
  <si>
    <t>Kritická premenná +10%</t>
  </si>
  <si>
    <t>Kritická premenná -10%</t>
  </si>
  <si>
    <t>Prepínacie hodnoty
(Switching values)</t>
  </si>
  <si>
    <t>Vstupné premenné</t>
  </si>
  <si>
    <t>% zmena kritickej premennej</t>
  </si>
  <si>
    <t>Poznámka k Nárast/pokles v %</t>
  </si>
  <si>
    <t>Nie je kritická premenná</t>
  </si>
  <si>
    <t>Netestované nakoľko nejde o kritickú premennú.</t>
  </si>
  <si>
    <t>ENPV</t>
  </si>
  <si>
    <t xml:space="preserve">zmena ENPV
pri 1% zmene vstupnej premennej
</t>
  </si>
  <si>
    <t xml:space="preserve">zmena ENPV
pri -1% zmene vstupnej premennej
</t>
  </si>
  <si>
    <t>Vstupná premenná:
Investičné náklady</t>
  </si>
  <si>
    <t>Vstupná premenná:
Prevádzkové náklady</t>
  </si>
  <si>
    <t xml:space="preserve">zmena ENPV
pri 5% zmene vstupnej premennej
</t>
  </si>
  <si>
    <t xml:space="preserve">zmena ENPV
pri -5% zmene vstupnej premennej
</t>
  </si>
  <si>
    <t xml:space="preserve">zmena ENPV
pri 10% zmene vstupnej premennej
</t>
  </si>
  <si>
    <t xml:space="preserve">zmena ENPV
pri -10% zmene vstupnej premennej
</t>
  </si>
  <si>
    <t>Analýza citlivosti FNPV_C - nákup
Switching values FNPV_C - nákup</t>
  </si>
  <si>
    <t>Analýza citlivosti ENPV - nákup
Switching values ENPV - nákup</t>
  </si>
  <si>
    <t>Ekonomická analýza</t>
  </si>
  <si>
    <t>Finančná analýza</t>
  </si>
  <si>
    <t>Pesimistický scenár</t>
  </si>
  <si>
    <t>Zmena  premennej</t>
  </si>
  <si>
    <t xml:space="preserve">ENPV </t>
  </si>
  <si>
    <t xml:space="preserve">ERR </t>
  </si>
  <si>
    <t xml:space="preserve">FNPV_C </t>
  </si>
  <si>
    <t xml:space="preserve">FRR_C </t>
  </si>
  <si>
    <t>Realistický scenár</t>
  </si>
  <si>
    <t>Optimistický scenár</t>
  </si>
  <si>
    <t xml:space="preserve">Realisticky scenár </t>
  </si>
  <si>
    <t>Analýza scenárov - nákup</t>
  </si>
  <si>
    <t>Vstupná premenná:
Počet cestujúcich</t>
  </si>
  <si>
    <t>Vstupná premenná:
Úspora času cestujúci</t>
  </si>
  <si>
    <t>Vstupná premenná:
Úspora času prípr. vlaku</t>
  </si>
  <si>
    <t>Nepriaznivá údalosť</t>
  </si>
  <si>
    <t>Ovplyvnená kritická premenná</t>
  </si>
  <si>
    <t>Príčina nepriaznivej udalosti</t>
  </si>
  <si>
    <t>Vplyv na projekt</t>
  </si>
  <si>
    <t>Dopad na cash-flow</t>
  </si>
  <si>
    <t>Pravdepodobnosť výskytu</t>
  </si>
  <si>
    <t>Závažnosť vplyvu</t>
  </si>
  <si>
    <t>Úroveň rizika</t>
  </si>
  <si>
    <t>Preventívne alebo zmierňujúce opatrenie</t>
  </si>
  <si>
    <t>Zostatkové riziko</t>
  </si>
  <si>
    <t>podobnosť výskytu</t>
  </si>
  <si>
    <t>Realizácia projektu</t>
  </si>
  <si>
    <t xml:space="preserve">Nedodržanie rozpočtu </t>
  </si>
  <si>
    <t>Vyššie investičné výdavky ako predpokladané</t>
  </si>
  <si>
    <t>Navýšenie investičných výdavkov</t>
  </si>
  <si>
    <t>Vyššie investičné výdavky potrebné na realizáciu projektu</t>
  </si>
  <si>
    <t>A</t>
  </si>
  <si>
    <t>I</t>
  </si>
  <si>
    <t>Nízke</t>
  </si>
  <si>
    <t>Prieskum trhu pri príprave PHZ
Kvalitne nastavené zmluvné vzťahy s budúcim  Zhotoviteľom</t>
  </si>
  <si>
    <t>Nedodržanie harmonogramu realizácie projektu</t>
  </si>
  <si>
    <t xml:space="preserve">Všetky premenné </t>
  </si>
  <si>
    <t xml:space="preserve">Oneskorenie ukončenia realizácie projektu </t>
  </si>
  <si>
    <t>Neskoršie ukončenie v čoho dôsledku by projekt generoval pozívne finančné a socio-ekonomické prínosy neskôr</t>
  </si>
  <si>
    <t>C</t>
  </si>
  <si>
    <t>II</t>
  </si>
  <si>
    <t>Stredná</t>
  </si>
  <si>
    <t>Monitorovanie priebehu projektu (priebežné kontroly, dohľad, a pod.),
Nastavenie zmluvných vzťahov s Dodávateľom</t>
  </si>
  <si>
    <t>Prevádzka</t>
  </si>
  <si>
    <t>Prevádzkové príjmy  nižšie ako predpokladané</t>
  </si>
  <si>
    <t>Zníženie prevádzkových príjmov projektu</t>
  </si>
  <si>
    <t xml:space="preserve">
Zhoršenie finančných ukazovateľov projektu
</t>
  </si>
  <si>
    <t>III</t>
  </si>
  <si>
    <t xml:space="preserve">Pri tvorbe scenárov vývoja prevádzkových príjmov je potrebné vychádzať z čo najpresnejších údajov 
</t>
  </si>
  <si>
    <t>Úspora prevádzkových výdavkov nižšia ako predpokladaná</t>
  </si>
  <si>
    <t>Navýšenie prevádzkových výdavkov projektu</t>
  </si>
  <si>
    <t xml:space="preserve">
Zhoršenie finančných ukazovateľov projektu
Zhoršenie socio-ekonomických ukazovateľov projektu</t>
  </si>
  <si>
    <t>B</t>
  </si>
  <si>
    <t>IV</t>
  </si>
  <si>
    <t xml:space="preserve">Pri tvorbe scenárov vývoja prevádzkových výdavkov   je potrebné vychádzať z čo najpresnejších údajov 
</t>
  </si>
  <si>
    <r>
      <rPr>
        <b/>
        <sz val="11"/>
        <color theme="1"/>
        <rFont val="Calibri"/>
        <family val="2"/>
        <scheme val="minor"/>
      </rPr>
      <t>Kategória A</t>
    </r>
    <r>
      <rPr>
        <sz val="10"/>
        <rFont val="Arial"/>
        <family val="2"/>
      </rPr>
      <t xml:space="preserve"> </t>
    </r>
    <r>
      <rPr>
        <sz val="11"/>
        <color theme="1"/>
        <rFont val="Calibri"/>
        <family val="2"/>
      </rPr>
      <t>→</t>
    </r>
    <r>
      <rPr>
        <sz val="10"/>
        <rFont val="Arial"/>
        <family val="2"/>
      </rPr>
      <t xml:space="preserve"> Veľmi málo pravdepodobné (0-10 % šanca)</t>
    </r>
  </si>
  <si>
    <r>
      <rPr>
        <b/>
        <sz val="11"/>
        <color theme="1"/>
        <rFont val="Calibri"/>
        <family val="2"/>
        <scheme val="minor"/>
      </rPr>
      <t>Kategória B</t>
    </r>
    <r>
      <rPr>
        <sz val="10"/>
        <rFont val="Arial"/>
        <family val="2"/>
      </rPr>
      <t xml:space="preserve"> → Málo pravdepodobné (10-33 % šanca)</t>
    </r>
  </si>
  <si>
    <r>
      <rPr>
        <b/>
        <sz val="11"/>
        <color theme="1"/>
        <rFont val="Calibri"/>
        <family val="2"/>
        <scheme val="minor"/>
      </rPr>
      <t>Kategória C</t>
    </r>
    <r>
      <rPr>
        <sz val="10"/>
        <rFont val="Arial"/>
        <family val="2"/>
      </rPr>
      <t xml:space="preserve"> → Stredná miera pravdepodobnosti (33-66 % šanca)</t>
    </r>
  </si>
  <si>
    <r>
      <rPr>
        <b/>
        <sz val="11"/>
        <color theme="1"/>
        <rFont val="Calibri"/>
        <family val="2"/>
        <scheme val="minor"/>
      </rPr>
      <t>Kategória D</t>
    </r>
    <r>
      <rPr>
        <sz val="10"/>
        <rFont val="Arial"/>
        <family val="2"/>
      </rPr>
      <t xml:space="preserve"> → Pravdepodobné (66-90 % šanca)</t>
    </r>
  </si>
  <si>
    <r>
      <rPr>
        <b/>
        <sz val="11"/>
        <color theme="1"/>
        <rFont val="Calibri"/>
        <family val="2"/>
        <scheme val="minor"/>
      </rPr>
      <t>Kategória E</t>
    </r>
    <r>
      <rPr>
        <sz val="10"/>
        <rFont val="Arial"/>
        <family val="2"/>
      </rPr>
      <t xml:space="preserve"> → Vysoko pravdepodobné (90-100 % šanca)</t>
    </r>
  </si>
  <si>
    <t xml:space="preserve">Zdroj: Metodická príručka k tvorbe analýz nákladov a prínosov (CBA), Operačný program Integrovaná infraštruktúra 2014-2020, Verzia 3.0
</t>
  </si>
  <si>
    <r>
      <rPr>
        <b/>
        <sz val="11"/>
        <color theme="1"/>
        <rFont val="Calibri"/>
        <family val="2"/>
        <scheme val="minor"/>
      </rPr>
      <t xml:space="preserve">Kategória I </t>
    </r>
    <r>
      <rPr>
        <sz val="10"/>
        <rFont val="Arial"/>
        <family val="2"/>
      </rPr>
      <t>→ Žiadny relevantný vplyv na očakávané spoločenské prínosy projektu</t>
    </r>
  </si>
  <si>
    <r>
      <rPr>
        <b/>
        <sz val="11"/>
        <color theme="1"/>
        <rFont val="Calibri"/>
        <family val="2"/>
        <scheme val="minor"/>
      </rPr>
      <t>Kategória II</t>
    </r>
    <r>
      <rPr>
        <sz val="10"/>
        <rFont val="Arial"/>
        <family val="2"/>
      </rPr>
      <t xml:space="preserve"> → Malá strata spoločenských prínosov projektu, nie sú ovplyvnené dlhodobé prínosy projektu, avšak nápravné opatrenie sú nutné</t>
    </r>
  </si>
  <si>
    <r>
      <rPr>
        <b/>
        <sz val="11"/>
        <color theme="1"/>
        <rFont val="Calibri"/>
        <family val="2"/>
        <scheme val="minor"/>
      </rPr>
      <t>Kategória III</t>
    </r>
    <r>
      <rPr>
        <sz val="10"/>
        <rFont val="Arial"/>
        <family val="2"/>
      </rPr>
      <t xml:space="preserve"> → Stredná závažnosť vplyvu, strata očakávaných spoločenských prínosov projektu, väčšinou finančné, aj v strednodobom a dlhodobom horizonte, nápravné opatrenia môžu vyriešiť problém</t>
    </r>
  </si>
  <si>
    <r>
      <rPr>
        <b/>
        <sz val="11"/>
        <color theme="1"/>
        <rFont val="Calibri"/>
        <family val="2"/>
        <scheme val="minor"/>
      </rPr>
      <t>Kategória IV</t>
    </r>
    <r>
      <rPr>
        <sz val="10"/>
        <rFont val="Arial"/>
        <family val="2"/>
      </rPr>
      <t xml:space="preserve"> → Kritický vplyv, veľká strata očakávaných spoločenských prínosov projektu, výskyt nežiaducej udalosti spôsobuje stratu primárnej funkčnosti projektu, nápravné opatrenia, aj keď realizované vo veľkom rozsahu, nepostačujú na to, aby sa predišlo významným škodám</t>
    </r>
  </si>
  <si>
    <r>
      <rPr>
        <b/>
        <sz val="11"/>
        <color theme="1"/>
        <rFont val="Calibri"/>
        <family val="2"/>
        <scheme val="minor"/>
      </rPr>
      <t>Kategória V</t>
    </r>
    <r>
      <rPr>
        <sz val="10"/>
        <rFont val="Arial"/>
        <family val="2"/>
      </rPr>
      <t xml:space="preserve"> → Katastrofický vplyv, významná, až úplná strata funkčnosti projektu, ciele projektu sa nezrealizujú ani v dlhodobom horizonte</t>
    </r>
  </si>
  <si>
    <t>Pravdepodobnosť</t>
  </si>
  <si>
    <t>Kategória I</t>
  </si>
  <si>
    <t>Kategória II</t>
  </si>
  <si>
    <t>Kategória III</t>
  </si>
  <si>
    <t>Kategória IV</t>
  </si>
  <si>
    <t>Kategória V</t>
  </si>
  <si>
    <t xml:space="preserve">Kategória A </t>
  </si>
  <si>
    <t>Nízka</t>
  </si>
  <si>
    <t xml:space="preserve">Kategória B </t>
  </si>
  <si>
    <t>Vysoká</t>
  </si>
  <si>
    <t xml:space="preserve">Kategória C </t>
  </si>
  <si>
    <t xml:space="preserve">Kategória D </t>
  </si>
  <si>
    <t>Veľmi vysoká</t>
  </si>
  <si>
    <t xml:space="preserve">Kategória E </t>
  </si>
  <si>
    <t>Údaje pre výpočty pravdepodobnostnej analýzy boli získané simuláciou Monte Carlo (10 000 iterácii)</t>
  </si>
  <si>
    <t>Descriptives</t>
  </si>
  <si>
    <t/>
  </si>
  <si>
    <t>Statistic</t>
  </si>
  <si>
    <t>Std. Error</t>
  </si>
  <si>
    <t>Mean</t>
  </si>
  <si>
    <t>95% Confidence Interval for Mean</t>
  </si>
  <si>
    <t>Lower Bound</t>
  </si>
  <si>
    <t>Upper Bound</t>
  </si>
  <si>
    <t>5% Trimmed Mean</t>
  </si>
  <si>
    <t>Median</t>
  </si>
  <si>
    <t>Variance</t>
  </si>
  <si>
    <t>Std. Deviation</t>
  </si>
  <si>
    <t>Minimum</t>
  </si>
  <si>
    <t>Maximum</t>
  </si>
  <si>
    <t>Range</t>
  </si>
  <si>
    <t>Interquartile Range</t>
  </si>
  <si>
    <t>Skewness</t>
  </si>
  <si>
    <t>Kurtosis</t>
  </si>
  <si>
    <t>Pravdepodobnosť, že FNPV_C &lt;= 0</t>
  </si>
  <si>
    <t>Pravdepodobnosť, že FNPV_C &gt;= 0</t>
  </si>
  <si>
    <t>Z údajov získaných simuláciou Monte Carlo boli zrealizované aj ďalšie štatistické testy pravdepodobnosti a ich výsledky sú  znázornené v grafoch:</t>
  </si>
  <si>
    <t>Záver:</t>
  </si>
  <si>
    <t>Pravdepodobnostná analýza FNPV_C - nákup</t>
  </si>
  <si>
    <t>Pravdepodobnosť, že ENPV &lt;= 0</t>
  </si>
  <si>
    <t>Pravdepodobnosť, že ENPV &gt;= 0</t>
  </si>
  <si>
    <t>Pravdepodobnostná analýza ENPV - nákup</t>
  </si>
  <si>
    <t>Priemerný čas prípravy vlaku v stanici v peňažnom vyjadrení (v EUR)</t>
  </si>
  <si>
    <t>Celkom Priemerný čas prípravy vlaku v stanici v peňažnom vyjadrení (v EUR)</t>
  </si>
  <si>
    <t>9.1 Spoločenská čistá súčasná hodnota investície</t>
  </si>
  <si>
    <t>Analýza dopytu</t>
  </si>
  <si>
    <t>Zníženie úspory času vygenerovanej realizáciou projektu</t>
  </si>
  <si>
    <t>Nepresný výpočet úspory času vygenerovanej realizáciou projektu</t>
  </si>
  <si>
    <t>Zníženie  hodnoty socio-ekonomických  benefitov  vygenerovaných realizáciou  projektu</t>
  </si>
  <si>
    <t>Zhoršenie socio-ekonomických ukazovateľov projektu</t>
  </si>
  <si>
    <t>Stredné</t>
  </si>
  <si>
    <t xml:space="preserve">Podpora cestovania železničnou dopravou
</t>
  </si>
  <si>
    <t>Kapacitné možnosti Dodávateľa, 
Nepredvídateľné faktory (napr. dodávateľsko-odberateľské vzťahy)</t>
  </si>
  <si>
    <t>Nepresný výpočet úspor prevádzkových výdavkov projektu</t>
  </si>
  <si>
    <t>Nepresný výpočet prevádzkových príjmov projektu</t>
  </si>
  <si>
    <t>Čas cestujúcich
Čas prípravy vlaku</t>
  </si>
  <si>
    <t xml:space="preserve">Pri výpočtoch vychádzať z čo najpresnejsích podkladov, prieskumov
</t>
  </si>
  <si>
    <t>Zniženie počtu cestujúcich</t>
  </si>
  <si>
    <t>Nižší záujem cestujúcich o železničnú dopravu ako prognózovaný</t>
  </si>
  <si>
    <t>FNPV_C bude s pravdepodobnosťou 0.7094&gt;= 0</t>
  </si>
  <si>
    <t>Môžeme vidieť, že je približne 71% pravdepodobnosť, že FNPV_C bude väčšia ako nula.</t>
  </si>
  <si>
    <t>Na základe realizovanej pravdepodobnostnej analýzy môžeme skonštatovať, že je vysoko pravdepodobné, že projekt bude generovať dostatočné prevádzkové úspory a prevádzkové príjmy.</t>
  </si>
  <si>
    <t>Zdroj: ZSSK</t>
  </si>
  <si>
    <t>Zdroj: Prognóza vývoja obyvateľstva v krajoch SR do r.2035 
Prognóza vývoja obyvateľstva SR do r. 2060   - roky 2036 - 2052</t>
  </si>
  <si>
    <t>Nárast investičných nákladov v socio-ekonomickej analýze o 37,77%  by znamenal, že socio-ekonomické prínosy by sa dostali na 0 resp. aj na mínusovú hodnotu.Ide o málo pravdepodobný scenár.</t>
  </si>
  <si>
    <t>Pokles úspory prevádzkových nákladov v socio-ekonomickej analýze o 40,40%  by znamenal, že socio-ekonomické prínosy by sa dostali na 0 resp. aj na mínusovú hodnotu. Úspory prevádzkových nákladov boli stanovené realisticky a je teda predpoklad, že prognózovaná úspora bude dodržaná.</t>
  </si>
  <si>
    <t>ENPV bude s pravdepodobnosťou 0.5406 &gt;= 0</t>
  </si>
  <si>
    <r>
      <t>Môžeme vidieť, že je približne 54% pravdepodobnosť, že ENPV bude v</t>
    </r>
    <r>
      <rPr>
        <sz val="10"/>
        <rFont val="Tahoma"/>
        <family val="2"/>
      </rPr>
      <t>ä</t>
    </r>
    <r>
      <rPr>
        <sz val="10"/>
        <rFont val="Arial"/>
        <family val="2"/>
      </rPr>
      <t>čšia ako nula.</t>
    </r>
  </si>
  <si>
    <r>
      <t>Na základe realizovanej pravdepodobnostnej analýzy m</t>
    </r>
    <r>
      <rPr>
        <sz val="10"/>
        <rFont val="Calibri"/>
        <family val="2"/>
      </rPr>
      <t>ô</t>
    </r>
    <r>
      <rPr>
        <sz val="10"/>
        <rFont val="Arial"/>
        <family val="2"/>
      </rPr>
      <t>žeme skonštatovať, že je pravdepodobné, že projekt splní podmienku celospoločenskej návratnosti 
t.j. ENPV &gt; 0, ERR &gt; 5%.</t>
    </r>
  </si>
  <si>
    <t>Vozidlo typu HKV</t>
  </si>
  <si>
    <t>HKV + SpDD</t>
  </si>
  <si>
    <t xml:space="preserve">     HKV 350, HKV 383RSL, HKV</t>
  </si>
  <si>
    <t xml:space="preserve">     Súpravy MOV, SpDD</t>
  </si>
  <si>
    <t>HKV</t>
  </si>
  <si>
    <t>nekorektá hodnota vypočítaná Excelom</t>
  </si>
  <si>
    <r>
      <rPr>
        <sz val="8"/>
        <color rgb="FFC00000"/>
        <rFont val="Calibri"/>
        <family val="2"/>
        <charset val="238"/>
        <scheme val="minor"/>
      </rPr>
      <t>→</t>
    </r>
    <r>
      <rPr>
        <sz val="8"/>
        <color rgb="FFC00000"/>
        <rFont val="Arial"/>
        <family val="2"/>
        <charset val="238"/>
      </rPr>
      <t xml:space="preserve"> v prípadoch úspory inkrementálnej úspory prevádzkových výdavkov (záporná hodnota) je možné bunku vynulovať za predpokladu, že úspora je kompenzovaná znížením prevádzkovej dotácie</t>
    </r>
  </si>
  <si>
    <r>
      <rPr>
        <sz val="8"/>
        <color rgb="FFC00000"/>
        <rFont val="Calibri"/>
        <family val="2"/>
        <charset val="238"/>
        <scheme val="minor"/>
      </rPr>
      <t>→</t>
    </r>
    <r>
      <rPr>
        <sz val="8"/>
        <color rgb="FFC00000"/>
        <rFont val="Arial"/>
        <family val="2"/>
        <charset val="238"/>
      </rPr>
      <t xml:space="preserve"> podľa čl. 18 Delegovaného nariadenia 480/2014 sa Zostatková hodnota investície zahrnie do výpočtu diskontovaných čistých príjmov operácie iba vtedy, ak príjmy prevyšujú výdavky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</si>
</sst>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0_ ;[Red]\-#,##0\ "/>
    <numFmt numFmtId="165" formatCode="0.0"/>
    <numFmt numFmtId="166" formatCode="#,##0.0"/>
    <numFmt numFmtId="167" formatCode="0.0%"/>
    <numFmt numFmtId="168" formatCode="#,##0.00_ ;[Red]\-#,##0.00\ "/>
    <numFmt numFmtId="169" formatCode="0.000"/>
    <numFmt numFmtId="170" formatCode="0.0000"/>
    <numFmt numFmtId="171" formatCode="#,##0.0000"/>
    <numFmt numFmtId="172" formatCode="0.0000000"/>
    <numFmt numFmtId="173" formatCode="0.00000"/>
    <numFmt numFmtId="174" formatCode="#,##0.000"/>
    <numFmt numFmtId="175" formatCode="#,##0.00\ [$€-1]"/>
    <numFmt numFmtId="176" formatCode="####.000"/>
  </numFmts>
  <fonts count="109">
    <font>
      <sz val="1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charset val="238"/>
      <scheme val="minor"/>
    </font>
    <font>
      <sz val="10"/>
      <name val="Arial"/>
      <family val="2"/>
      <charset val="238"/>
    </font>
    <font>
      <sz val="8"/>
      <name val="Arial"/>
      <family val="2"/>
      <charset val="238"/>
    </font>
    <font>
      <sz val="10"/>
      <name val="Arial"/>
      <family val="2"/>
      <charset val="238"/>
    </font>
    <font>
      <i/>
      <sz val="8"/>
      <name val="Arial"/>
      <family val="2"/>
      <charset val="238"/>
    </font>
    <font>
      <b/>
      <sz val="8"/>
      <name val="Arial"/>
      <family val="2"/>
      <charset val="238"/>
    </font>
    <font>
      <b/>
      <sz val="8"/>
      <name val="Arial"/>
      <family val="2"/>
    </font>
    <font>
      <i/>
      <sz val="8"/>
      <name val="Calibri"/>
      <family val="2"/>
      <charset val="238"/>
    </font>
    <font>
      <sz val="8"/>
      <name val="Calibri"/>
      <family val="2"/>
      <charset val="238"/>
    </font>
    <font>
      <sz val="8"/>
      <color indexed="8"/>
      <name val="Arial"/>
      <family val="2"/>
      <charset val="238"/>
    </font>
    <font>
      <sz val="8"/>
      <name val="Arial"/>
      <family val="2"/>
    </font>
    <font>
      <sz val="8"/>
      <color rgb="FF000000"/>
      <name val="Arial"/>
      <family val="2"/>
      <charset val="238"/>
    </font>
    <font>
      <i/>
      <sz val="8"/>
      <color rgb="FF000000"/>
      <name val="Calibri"/>
      <family val="2"/>
      <charset val="238"/>
    </font>
    <font>
      <sz val="8"/>
      <color rgb="FF000000"/>
      <name val="Arial"/>
      <family val="2"/>
    </font>
    <font>
      <sz val="10"/>
      <name val="Arial"/>
      <family val="2"/>
    </font>
    <font>
      <sz val="8"/>
      <color theme="0"/>
      <name val="Arial"/>
      <family val="2"/>
      <charset val="238"/>
    </font>
    <font>
      <vertAlign val="subscript"/>
      <sz val="8"/>
      <name val="Arial"/>
      <family val="2"/>
      <charset val="238"/>
    </font>
    <font>
      <i/>
      <sz val="8"/>
      <color rgb="FF000000"/>
      <name val="Arial"/>
      <family val="2"/>
      <charset val="238"/>
    </font>
    <font>
      <b/>
      <vertAlign val="subscript"/>
      <sz val="8"/>
      <name val="Arial"/>
      <family val="2"/>
      <charset val="238"/>
    </font>
    <font>
      <vertAlign val="subscript"/>
      <sz val="8"/>
      <color rgb="FF000000"/>
      <name val="Arial"/>
      <family val="2"/>
      <charset val="238"/>
    </font>
    <font>
      <b/>
      <i/>
      <sz val="8"/>
      <color rgb="FF000000"/>
      <name val="Arial"/>
      <family val="2"/>
      <charset val="238"/>
    </font>
    <font>
      <sz val="8"/>
      <color theme="3"/>
      <name val="Arial"/>
      <family val="2"/>
      <charset val="238"/>
    </font>
    <font>
      <b/>
      <sz val="10"/>
      <name val="Arial"/>
      <family val="2"/>
      <charset val="238"/>
    </font>
    <font>
      <b/>
      <sz val="8"/>
      <color rgb="FF000000"/>
      <name val="Arial"/>
      <family val="2"/>
      <charset val="238"/>
    </font>
    <font>
      <b/>
      <sz val="22"/>
      <name val="Arial"/>
      <family val="2"/>
      <charset val="238"/>
    </font>
    <font>
      <sz val="8"/>
      <color rgb="FF3399FF"/>
      <name val="Arial"/>
      <family val="2"/>
      <charset val="238"/>
    </font>
    <font>
      <sz val="9"/>
      <color indexed="81"/>
      <name val="Segoe UI"/>
      <family val="2"/>
      <charset val="238"/>
    </font>
    <font>
      <b/>
      <sz val="9"/>
      <color indexed="81"/>
      <name val="Segoe UI"/>
      <family val="2"/>
      <charset val="238"/>
    </font>
    <font>
      <b/>
      <sz val="11"/>
      <name val="Arial"/>
      <family val="2"/>
    </font>
    <font>
      <sz val="11"/>
      <color theme="1"/>
      <name val="Arial Narrow"/>
      <family val="2"/>
      <charset val="238"/>
    </font>
    <font>
      <i/>
      <sz val="12"/>
      <color theme="1"/>
      <name val="Times New Roman"/>
      <family val="1"/>
      <charset val="238"/>
    </font>
    <font>
      <i/>
      <sz val="12"/>
      <color theme="1"/>
      <name val="Arial Narrow"/>
      <family val="2"/>
      <charset val="238"/>
    </font>
    <font>
      <sz val="12"/>
      <color theme="1"/>
      <name val="Arial Narrow"/>
      <family val="2"/>
      <charset val="238"/>
    </font>
    <font>
      <sz val="12"/>
      <color theme="1"/>
      <name val="Times New Roman"/>
      <family val="1"/>
      <charset val="238"/>
    </font>
    <font>
      <b/>
      <sz val="14"/>
      <color theme="1"/>
      <name val="Times New Roman"/>
      <family val="1"/>
      <charset val="238"/>
    </font>
    <font>
      <sz val="14"/>
      <color theme="1"/>
      <name val="Arial Narrow"/>
      <family val="2"/>
      <charset val="238"/>
    </font>
    <font>
      <i/>
      <sz val="10"/>
      <color theme="1"/>
      <name val="Times New Roman"/>
      <family val="1"/>
    </font>
    <font>
      <i/>
      <sz val="12"/>
      <color theme="1"/>
      <name val="Times New Roman"/>
      <family val="1"/>
    </font>
    <font>
      <b/>
      <sz val="12"/>
      <color theme="1"/>
      <name val="Times New Roman"/>
      <family val="1"/>
      <charset val="238"/>
    </font>
    <font>
      <sz val="12"/>
      <name val="Times New Roman"/>
      <family val="1"/>
      <charset val="238"/>
    </font>
    <font>
      <sz val="12"/>
      <color theme="8"/>
      <name val="Times New Roman"/>
      <family val="1"/>
      <charset val="238"/>
    </font>
    <font>
      <i/>
      <sz val="12"/>
      <name val="Times New Roman"/>
      <family val="1"/>
      <charset val="238"/>
    </font>
    <font>
      <i/>
      <sz val="12"/>
      <color indexed="8"/>
      <name val="Times New Roman"/>
      <family val="1"/>
      <charset val="238"/>
    </font>
    <font>
      <sz val="12"/>
      <name val="Arial Narrow"/>
      <family val="2"/>
      <charset val="238"/>
    </font>
    <font>
      <sz val="14"/>
      <name val="Arial Narrow"/>
      <family val="2"/>
      <charset val="238"/>
    </font>
    <font>
      <i/>
      <sz val="10"/>
      <name val="Times New Roman"/>
      <family val="1"/>
    </font>
    <font>
      <i/>
      <sz val="12"/>
      <name val="Times New Roman"/>
      <family val="1"/>
    </font>
    <font>
      <b/>
      <sz val="12"/>
      <name val="Times New Roman"/>
      <family val="1"/>
      <charset val="238"/>
    </font>
    <font>
      <b/>
      <sz val="12"/>
      <name val="Arial"/>
      <family val="2"/>
      <charset val="238"/>
    </font>
    <font>
      <sz val="11"/>
      <color theme="1"/>
      <name val="Calibri"/>
      <family val="2"/>
      <scheme val="minor"/>
    </font>
    <font>
      <sz val="10"/>
      <color theme="1"/>
      <name val="Arial"/>
      <family val="2"/>
      <charset val="238"/>
    </font>
    <font>
      <b/>
      <sz val="22"/>
      <color theme="1"/>
      <name val="Calibri"/>
      <family val="2"/>
      <charset val="238"/>
      <scheme val="minor"/>
    </font>
    <font>
      <b/>
      <sz val="12"/>
      <color indexed="8"/>
      <name val="Calibri"/>
      <family val="2"/>
      <charset val="238"/>
      <scheme val="minor"/>
    </font>
    <font>
      <sz val="26"/>
      <color theme="0" tint="-0.249977111117893"/>
      <name val="Calibri"/>
      <family val="2"/>
      <scheme val="minor"/>
    </font>
    <font>
      <sz val="11"/>
      <color theme="0" tint="-0.249977111117893"/>
      <name val="Calibri"/>
      <family val="2"/>
      <scheme val="minor"/>
    </font>
    <font>
      <i/>
      <sz val="11"/>
      <color theme="1"/>
      <name val="Calibri"/>
      <family val="2"/>
      <charset val="238"/>
      <scheme val="minor"/>
    </font>
    <font>
      <sz val="10"/>
      <name val="Calibri"/>
      <family val="2"/>
      <charset val="238"/>
      <scheme val="minor"/>
    </font>
    <font>
      <sz val="10"/>
      <color theme="1"/>
      <name val="Calibri"/>
      <family val="2"/>
      <charset val="238"/>
      <scheme val="minor"/>
    </font>
    <font>
      <b/>
      <sz val="11"/>
      <color theme="1"/>
      <name val="Calibri"/>
      <family val="2"/>
      <charset val="238"/>
      <scheme val="minor"/>
    </font>
    <font>
      <sz val="10"/>
      <color theme="1"/>
      <name val="Calibri"/>
      <family val="2"/>
      <scheme val="minor"/>
    </font>
    <font>
      <b/>
      <sz val="10"/>
      <color theme="1"/>
      <name val="Calibri"/>
      <family val="2"/>
      <charset val="238"/>
      <scheme val="minor"/>
    </font>
    <font>
      <b/>
      <sz val="11"/>
      <color theme="1"/>
      <name val="Calibri"/>
      <family val="2"/>
      <scheme val="minor"/>
    </font>
    <font>
      <sz val="11"/>
      <color rgb="FFFF0000"/>
      <name val="Calibri"/>
      <family val="2"/>
      <scheme val="minor"/>
    </font>
    <font>
      <i/>
      <sz val="10"/>
      <color theme="1"/>
      <name val="Calibri"/>
      <family val="2"/>
      <charset val="238"/>
      <scheme val="minor"/>
    </font>
    <font>
      <b/>
      <sz val="12"/>
      <color theme="1"/>
      <name val="Calibri"/>
      <family val="2"/>
      <scheme val="minor"/>
    </font>
    <font>
      <i/>
      <sz val="10"/>
      <color theme="1"/>
      <name val="Arial"/>
      <family val="2"/>
    </font>
    <font>
      <sz val="10"/>
      <color theme="1"/>
      <name val="Arial"/>
      <family val="2"/>
    </font>
    <font>
      <b/>
      <sz val="10"/>
      <color theme="1"/>
      <name val="Arial"/>
      <family val="2"/>
    </font>
    <font>
      <b/>
      <sz val="14"/>
      <color theme="1"/>
      <name val="Calibri"/>
      <family val="2"/>
      <scheme val="minor"/>
    </font>
    <font>
      <b/>
      <sz val="18"/>
      <color theme="1"/>
      <name val="Calibri"/>
      <family val="2"/>
      <scheme val="minor"/>
    </font>
    <font>
      <sz val="9"/>
      <color rgb="FF000000"/>
      <name val="Segoe UI"/>
      <family val="2"/>
      <charset val="1"/>
    </font>
    <font>
      <b/>
      <sz val="24"/>
      <color theme="0"/>
      <name val="Calibri"/>
      <family val="2"/>
      <scheme val="minor"/>
    </font>
    <font>
      <b/>
      <sz val="18"/>
      <color theme="1"/>
      <name val="Arial"/>
      <family val="2"/>
    </font>
    <font>
      <sz val="10"/>
      <color rgb="FFFF0000"/>
      <name val="Arial"/>
      <family val="2"/>
    </font>
    <font>
      <b/>
      <sz val="10"/>
      <name val="Arial"/>
      <family val="2"/>
    </font>
    <font>
      <sz val="11"/>
      <name val="Calibri"/>
      <family val="2"/>
      <scheme val="minor"/>
    </font>
    <font>
      <sz val="10"/>
      <color theme="0"/>
      <name val="Arial"/>
      <family val="2"/>
    </font>
    <font>
      <b/>
      <sz val="11"/>
      <name val="Calibri"/>
      <family val="2"/>
      <scheme val="minor"/>
    </font>
    <font>
      <b/>
      <sz val="11"/>
      <color theme="0"/>
      <name val="Calibri"/>
      <family val="2"/>
      <scheme val="minor"/>
    </font>
    <font>
      <b/>
      <sz val="9"/>
      <color rgb="FFFFFFFF"/>
      <name val="Times New Roman"/>
      <family val="1"/>
    </font>
    <font>
      <b/>
      <sz val="14"/>
      <name val="Times New Roman"/>
      <family val="1"/>
    </font>
    <font>
      <sz val="9"/>
      <name val="Times New Roman"/>
      <family val="1"/>
    </font>
    <font>
      <sz val="11"/>
      <name val="Times New Roman"/>
      <family val="1"/>
    </font>
    <font>
      <b/>
      <sz val="9"/>
      <name val="Times New Roman"/>
      <family val="1"/>
    </font>
    <font>
      <sz val="11"/>
      <color theme="1"/>
      <name val="Calibri"/>
      <family val="2"/>
    </font>
    <font>
      <sz val="10"/>
      <color rgb="FF000000"/>
      <name val="Calibri"/>
      <family val="2"/>
      <scheme val="minor"/>
    </font>
    <font>
      <sz val="8"/>
      <color theme="1"/>
      <name val="Calibri"/>
      <family val="2"/>
      <scheme val="minor"/>
    </font>
    <font>
      <b/>
      <sz val="9"/>
      <color indexed="8"/>
      <name val="Arial Bold"/>
    </font>
    <font>
      <sz val="9"/>
      <color indexed="8"/>
      <name val="Arial"/>
      <family val="2"/>
    </font>
    <font>
      <b/>
      <sz val="16"/>
      <name val="Arial"/>
      <family val="2"/>
    </font>
    <font>
      <sz val="12"/>
      <color theme="0" tint="-0.34998626667073579"/>
      <name val="Calibri"/>
      <family val="2"/>
      <scheme val="minor"/>
    </font>
    <font>
      <sz val="10"/>
      <name val="Tahoma"/>
      <family val="2"/>
    </font>
    <font>
      <sz val="10"/>
      <name val="Calibri"/>
      <family val="2"/>
    </font>
    <font>
      <sz val="8"/>
      <color rgb="FFC00000"/>
      <name val="Arial"/>
      <family val="2"/>
      <charset val="238"/>
    </font>
    <font>
      <b/>
      <sz val="8"/>
      <color rgb="FFC00000"/>
      <name val="Arial"/>
      <family val="2"/>
      <charset val="238"/>
    </font>
    <font>
      <sz val="8"/>
      <color theme="1" tint="0.34998626667073579"/>
      <name val="Arial"/>
      <family val="2"/>
      <charset val="238"/>
    </font>
    <font>
      <sz val="8"/>
      <color rgb="FFC00000"/>
      <name val="Calibri"/>
      <family val="2"/>
      <charset val="238"/>
      <scheme val="minor"/>
    </font>
    <font>
      <sz val="11"/>
      <color rgb="FFC00000"/>
      <name val="Calibri"/>
      <family val="2"/>
      <scheme val="minor"/>
    </font>
    <font>
      <b/>
      <sz val="11"/>
      <color rgb="FFC00000"/>
      <name val="Calibri"/>
      <family val="2"/>
      <scheme val="minor"/>
    </font>
    <font>
      <sz val="8"/>
      <color rgb="FFC00000"/>
      <name val="Calibri"/>
      <family val="2"/>
      <scheme val="minor"/>
    </font>
    <font>
      <sz val="11"/>
      <color theme="6" tint="-0.499984740745262"/>
      <name val="Calibri"/>
      <family val="2"/>
      <scheme val="minor"/>
    </font>
    <font>
      <sz val="26"/>
      <color theme="1" tint="0.499984740745262"/>
      <name val="Calibri"/>
      <family val="2"/>
      <scheme val="minor"/>
    </font>
    <font>
      <sz val="11"/>
      <color theme="1" tint="0.499984740745262"/>
      <name val="Calibri"/>
      <family val="2"/>
      <scheme val="minor"/>
    </font>
    <font>
      <sz val="11"/>
      <color theme="1" tint="0.34998626667073579"/>
      <name val="Calibri"/>
      <family val="2"/>
      <scheme val="minor"/>
    </font>
  </fonts>
  <fills count="25">
    <fill>
      <patternFill patternType="none"/>
    </fill>
    <fill>
      <patternFill patternType="gray125"/>
    </fill>
    <fill>
      <patternFill patternType="solid">
        <fgColor indexed="44"/>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99CCFF"/>
        <bgColor indexed="64"/>
      </patternFill>
    </fill>
    <fill>
      <patternFill patternType="solid">
        <fgColor theme="1"/>
        <bgColor indexed="64"/>
      </patternFill>
    </fill>
    <fill>
      <patternFill patternType="solid">
        <fgColor rgb="FF0070C0"/>
        <bgColor indexed="64"/>
      </patternFill>
    </fill>
    <fill>
      <patternFill patternType="darkUp">
        <fgColor theme="0"/>
        <bgColor rgb="FF0070C0"/>
      </patternFill>
    </fill>
    <fill>
      <patternFill patternType="solid">
        <fgColor rgb="FFFF0000"/>
        <bgColor indexed="64"/>
      </patternFill>
    </fill>
    <fill>
      <patternFill patternType="solid">
        <fgColor theme="9" tint="-0.249977111117893"/>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C00000"/>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right/>
      <top/>
      <bottom style="thin">
        <color indexed="64"/>
      </bottom>
      <diagonal/>
    </border>
    <border>
      <left style="thin">
        <color indexed="64"/>
      </left>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auto="1"/>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diagonalUp="1" diagonalDown="1">
      <left/>
      <right/>
      <top/>
      <bottom/>
      <diagonal style="thin">
        <color auto="1"/>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thin">
        <color indexed="64"/>
      </right>
      <top style="thin">
        <color indexed="64"/>
      </top>
      <bottom style="double">
        <color indexed="64"/>
      </bottom>
      <diagonal/>
    </border>
    <border>
      <left/>
      <right style="medium">
        <color indexed="64"/>
      </right>
      <top style="thin">
        <color indexed="64"/>
      </top>
      <bottom style="double">
        <color indexed="64"/>
      </bottom>
      <diagonal/>
    </border>
    <border>
      <left/>
      <right style="medium">
        <color indexed="64"/>
      </right>
      <top/>
      <bottom style="thin">
        <color indexed="64"/>
      </bottom>
      <diagonal/>
    </border>
    <border>
      <left style="medium">
        <color indexed="64"/>
      </left>
      <right style="thin">
        <color indexed="64"/>
      </right>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s>
  <cellStyleXfs count="24">
    <xf numFmtId="0" fontId="0" fillId="0" borderId="0"/>
    <xf numFmtId="0" fontId="8" fillId="0" borderId="0"/>
    <xf numFmtId="9" fontId="6" fillId="0" borderId="0" applyFont="0" applyFill="0" applyBorder="0" applyAlignment="0" applyProtection="0"/>
    <xf numFmtId="0" fontId="5" fillId="0" borderId="0"/>
    <xf numFmtId="0" fontId="19" fillId="0" borderId="0"/>
    <xf numFmtId="0" fontId="34" fillId="0" borderId="0"/>
    <xf numFmtId="9" fontId="34" fillId="0" borderId="0" applyFont="0" applyFill="0" applyBorder="0" applyAlignment="0" applyProtection="0"/>
    <xf numFmtId="0" fontId="19" fillId="0" borderId="0"/>
    <xf numFmtId="0" fontId="54" fillId="0" borderId="0"/>
    <xf numFmtId="0" fontId="4" fillId="0" borderId="0"/>
    <xf numFmtId="0" fontId="55" fillId="0" borderId="0"/>
    <xf numFmtId="0" fontId="5" fillId="0" borderId="0"/>
    <xf numFmtId="9" fontId="54" fillId="0" borderId="0" applyFont="0" applyFill="0" applyBorder="0" applyAlignment="0" applyProtection="0"/>
    <xf numFmtId="43" fontId="4" fillId="0" borderId="0" applyFont="0" applyFill="0" applyBorder="0" applyAlignment="0" applyProtection="0"/>
    <xf numFmtId="0" fontId="3" fillId="0" borderId="0"/>
    <xf numFmtId="0" fontId="2" fillId="0" borderId="0"/>
    <xf numFmtId="0" fontId="6" fillId="0" borderId="0"/>
    <xf numFmtId="9" fontId="34" fillId="0" borderId="0" applyFont="0" applyFill="0" applyBorder="0" applyAlignment="0" applyProtection="0"/>
    <xf numFmtId="9" fontId="19" fillId="0" borderId="0" applyFont="0" applyFill="0" applyBorder="0" applyAlignment="0" applyProtection="0"/>
    <xf numFmtId="0" fontId="6" fillId="0" borderId="0"/>
    <xf numFmtId="0" fontId="54" fillId="0" borderId="0"/>
    <xf numFmtId="0" fontId="19" fillId="0" borderId="0"/>
    <xf numFmtId="0" fontId="19" fillId="0" borderId="0"/>
    <xf numFmtId="0" fontId="54" fillId="0" borderId="0"/>
  </cellStyleXfs>
  <cellXfs count="1189">
    <xf numFmtId="0" fontId="0" fillId="0" borderId="0" xfId="0"/>
    <xf numFmtId="0" fontId="9" fillId="0" borderId="0" xfId="0" applyFont="1"/>
    <xf numFmtId="0" fontId="7" fillId="0" borderId="0" xfId="0" applyFont="1"/>
    <xf numFmtId="0" fontId="7" fillId="0" borderId="1" xfId="0" applyFont="1" applyBorder="1"/>
    <xf numFmtId="0" fontId="10" fillId="0" borderId="1" xfId="0" applyFont="1" applyBorder="1"/>
    <xf numFmtId="0" fontId="9" fillId="0" borderId="1" xfId="0" applyFont="1" applyBorder="1"/>
    <xf numFmtId="0" fontId="10" fillId="3" borderId="1" xfId="0" applyFont="1" applyFill="1" applyBorder="1"/>
    <xf numFmtId="0" fontId="9" fillId="3" borderId="1" xfId="0" applyFont="1" applyFill="1" applyBorder="1"/>
    <xf numFmtId="3" fontId="7" fillId="0" borderId="1" xfId="0" applyNumberFormat="1" applyFont="1" applyBorder="1"/>
    <xf numFmtId="0" fontId="10" fillId="0" borderId="1" xfId="0" applyFont="1" applyBorder="1" applyAlignment="1">
      <alignment wrapText="1"/>
    </xf>
    <xf numFmtId="0" fontId="7" fillId="0" borderId="0" xfId="0" applyFont="1" applyAlignment="1">
      <alignment wrapText="1"/>
    </xf>
    <xf numFmtId="3" fontId="7" fillId="0" borderId="0" xfId="0" applyNumberFormat="1" applyFont="1"/>
    <xf numFmtId="0" fontId="10" fillId="0" borderId="0" xfId="0" applyFont="1"/>
    <xf numFmtId="0" fontId="7" fillId="0" borderId="1" xfId="0" applyFont="1" applyBorder="1" applyAlignment="1">
      <alignment horizontal="left"/>
    </xf>
    <xf numFmtId="0" fontId="7" fillId="0" borderId="1" xfId="0" applyFont="1" applyBorder="1" applyAlignment="1">
      <alignment horizontal="center" wrapText="1"/>
    </xf>
    <xf numFmtId="0" fontId="7" fillId="0" borderId="1" xfId="0" applyFont="1" applyBorder="1" applyAlignment="1">
      <alignment horizontal="center"/>
    </xf>
    <xf numFmtId="0" fontId="9" fillId="0" borderId="0" xfId="0" applyFont="1" applyAlignment="1">
      <alignment horizontal="left"/>
    </xf>
    <xf numFmtId="0" fontId="7" fillId="3" borderId="1" xfId="0" applyFont="1" applyFill="1" applyBorder="1"/>
    <xf numFmtId="0" fontId="10" fillId="0" borderId="3" xfId="0" applyFont="1" applyBorder="1"/>
    <xf numFmtId="3" fontId="10" fillId="0" borderId="3" xfId="0" applyNumberFormat="1" applyFont="1" applyBorder="1"/>
    <xf numFmtId="164" fontId="7" fillId="0" borderId="0" xfId="0" applyNumberFormat="1" applyFont="1"/>
    <xf numFmtId="0" fontId="7" fillId="0" borderId="4" xfId="0" applyFont="1" applyBorder="1"/>
    <xf numFmtId="0" fontId="7" fillId="0" borderId="2" xfId="0" applyFont="1" applyBorder="1"/>
    <xf numFmtId="3" fontId="7" fillId="0" borderId="2" xfId="0" applyNumberFormat="1" applyFont="1" applyBorder="1"/>
    <xf numFmtId="0" fontId="10" fillId="4" borderId="1" xfId="0" applyFont="1" applyFill="1" applyBorder="1"/>
    <xf numFmtId="0" fontId="7" fillId="0" borderId="3" xfId="0" applyFont="1" applyBorder="1"/>
    <xf numFmtId="0" fontId="7" fillId="0" borderId="0" xfId="1" applyFont="1"/>
    <xf numFmtId="0" fontId="7" fillId="0" borderId="1" xfId="1" applyFont="1" applyBorder="1"/>
    <xf numFmtId="0" fontId="10" fillId="0" borderId="1" xfId="1" applyFont="1" applyBorder="1"/>
    <xf numFmtId="0" fontId="9" fillId="0" borderId="1" xfId="1" applyFont="1" applyBorder="1"/>
    <xf numFmtId="0" fontId="10" fillId="3" borderId="1" xfId="1" applyFont="1" applyFill="1" applyBorder="1"/>
    <xf numFmtId="0" fontId="9" fillId="3" borderId="1" xfId="1" applyFont="1" applyFill="1" applyBorder="1"/>
    <xf numFmtId="0" fontId="10" fillId="0" borderId="0" xfId="1" applyFont="1"/>
    <xf numFmtId="164" fontId="7" fillId="0" borderId="1" xfId="1" applyNumberFormat="1" applyFont="1" applyBorder="1"/>
    <xf numFmtId="2" fontId="10" fillId="3" borderId="1" xfId="1" applyNumberFormat="1" applyFont="1" applyFill="1" applyBorder="1" applyAlignment="1">
      <alignment horizontal="center" wrapText="1"/>
    </xf>
    <xf numFmtId="0" fontId="7" fillId="0" borderId="4" xfId="1" applyFont="1" applyBorder="1"/>
    <xf numFmtId="3" fontId="10" fillId="0" borderId="0" xfId="0" applyNumberFormat="1" applyFont="1"/>
    <xf numFmtId="0" fontId="9" fillId="0" borderId="0" xfId="0" applyFont="1" applyAlignment="1">
      <alignment vertical="center"/>
    </xf>
    <xf numFmtId="0" fontId="7" fillId="2" borderId="1" xfId="0" applyFont="1" applyFill="1" applyBorder="1"/>
    <xf numFmtId="9" fontId="7" fillId="0" borderId="3" xfId="0" applyNumberFormat="1" applyFont="1" applyBorder="1" applyAlignment="1">
      <alignment horizontal="center" vertical="center"/>
    </xf>
    <xf numFmtId="9"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12" fillId="0" borderId="0" xfId="0" applyFont="1" applyAlignment="1">
      <alignment vertical="center"/>
    </xf>
    <xf numFmtId="0" fontId="13" fillId="0" borderId="0" xfId="0" applyFont="1"/>
    <xf numFmtId="0" fontId="17" fillId="0" borderId="0" xfId="0" applyFont="1" applyAlignment="1">
      <alignment vertical="center" wrapText="1"/>
    </xf>
    <xf numFmtId="0" fontId="7" fillId="0" borderId="1" xfId="0" applyFont="1" applyBorder="1" applyAlignment="1">
      <alignment horizontal="left" vertical="center"/>
    </xf>
    <xf numFmtId="4" fontId="7" fillId="0" borderId="3" xfId="0" applyNumberFormat="1" applyFont="1" applyBorder="1" applyAlignment="1">
      <alignment horizontal="center" vertical="center"/>
    </xf>
    <xf numFmtId="4" fontId="7" fillId="0" borderId="1" xfId="0" applyNumberFormat="1" applyFont="1" applyBorder="1" applyAlignment="1">
      <alignment horizontal="center" vertical="center"/>
    </xf>
    <xf numFmtId="0" fontId="15" fillId="0" borderId="1" xfId="0" applyFont="1" applyBorder="1"/>
    <xf numFmtId="0" fontId="18" fillId="0" borderId="1" xfId="0" applyFont="1" applyBorder="1" applyAlignment="1">
      <alignment horizontal="left" vertical="center" wrapText="1"/>
    </xf>
    <xf numFmtId="0" fontId="10" fillId="3" borderId="1" xfId="0" applyFont="1" applyFill="1" applyBorder="1" applyAlignment="1">
      <alignment horizontal="left"/>
    </xf>
    <xf numFmtId="0" fontId="10" fillId="3" borderId="1" xfId="0" applyFont="1" applyFill="1" applyBorder="1" applyAlignment="1">
      <alignment horizontal="center" wrapText="1"/>
    </xf>
    <xf numFmtId="0" fontId="10" fillId="3" borderId="4" xfId="0" applyFont="1" applyFill="1" applyBorder="1" applyAlignment="1">
      <alignment horizontal="center" wrapText="1"/>
    </xf>
    <xf numFmtId="9" fontId="7" fillId="0" borderId="4" xfId="2" applyFont="1" applyBorder="1" applyAlignment="1">
      <alignment horizontal="center"/>
    </xf>
    <xf numFmtId="0" fontId="10" fillId="3" borderId="8" xfId="0" applyFont="1" applyFill="1" applyBorder="1" applyAlignment="1">
      <alignment horizontal="center" wrapText="1"/>
    </xf>
    <xf numFmtId="0" fontId="10" fillId="3" borderId="9" xfId="0" applyFont="1" applyFill="1" applyBorder="1" applyAlignment="1">
      <alignment horizontal="center" wrapText="1"/>
    </xf>
    <xf numFmtId="0" fontId="10" fillId="0" borderId="10" xfId="0" applyFont="1" applyBorder="1" applyAlignment="1">
      <alignment horizontal="center"/>
    </xf>
    <xf numFmtId="0" fontId="10" fillId="0" borderId="11" xfId="0" applyFont="1" applyBorder="1" applyAlignment="1">
      <alignment horizontal="center"/>
    </xf>
    <xf numFmtId="0" fontId="7" fillId="7" borderId="10" xfId="0" applyFont="1" applyFill="1" applyBorder="1"/>
    <xf numFmtId="0" fontId="7" fillId="7" borderId="12" xfId="0" applyFont="1" applyFill="1" applyBorder="1"/>
    <xf numFmtId="0" fontId="7" fillId="7" borderId="11" xfId="0" applyFont="1" applyFill="1" applyBorder="1"/>
    <xf numFmtId="0" fontId="7" fillId="7" borderId="13" xfId="0" applyFont="1" applyFill="1" applyBorder="1"/>
    <xf numFmtId="0" fontId="7" fillId="7" borderId="0" xfId="0" applyFont="1" applyFill="1"/>
    <xf numFmtId="0" fontId="7" fillId="7" borderId="14" xfId="0" applyFont="1" applyFill="1" applyBorder="1"/>
    <xf numFmtId="0" fontId="7" fillId="7" borderId="15" xfId="0" applyFont="1" applyFill="1" applyBorder="1"/>
    <xf numFmtId="0" fontId="7" fillId="7" borderId="16" xfId="0" applyFont="1" applyFill="1" applyBorder="1"/>
    <xf numFmtId="0" fontId="7" fillId="7" borderId="17" xfId="0" applyFont="1" applyFill="1" applyBorder="1"/>
    <xf numFmtId="0" fontId="7" fillId="0" borderId="3" xfId="0" applyFont="1" applyBorder="1" applyAlignment="1">
      <alignment horizontal="left" vertical="center"/>
    </xf>
    <xf numFmtId="0" fontId="7" fillId="0" borderId="1" xfId="0" applyFont="1" applyBorder="1" applyAlignment="1">
      <alignment horizontal="left" vertical="center" wrapText="1"/>
    </xf>
    <xf numFmtId="167" fontId="16" fillId="0" borderId="1" xfId="0" applyNumberFormat="1" applyFont="1" applyBorder="1" applyAlignment="1">
      <alignment horizontal="center" vertical="center"/>
    </xf>
    <xf numFmtId="170" fontId="16" fillId="0" borderId="1" xfId="0" applyNumberFormat="1" applyFont="1" applyBorder="1" applyAlignment="1">
      <alignment horizontal="center" vertical="center"/>
    </xf>
    <xf numFmtId="0" fontId="11" fillId="8" borderId="1" xfId="0" applyFont="1" applyFill="1" applyBorder="1" applyAlignment="1">
      <alignment horizontal="center" vertical="center"/>
    </xf>
    <xf numFmtId="0" fontId="20" fillId="0" borderId="0" xfId="0" applyFont="1"/>
    <xf numFmtId="167" fontId="7" fillId="0" borderId="1" xfId="0" applyNumberFormat="1" applyFont="1" applyBorder="1" applyAlignment="1">
      <alignment horizontal="center" vertical="center"/>
    </xf>
    <xf numFmtId="9" fontId="7" fillId="0" borderId="1" xfId="0" applyNumberFormat="1" applyFont="1" applyBorder="1" applyAlignment="1">
      <alignment horizontal="center"/>
    </xf>
    <xf numFmtId="0" fontId="10" fillId="8" borderId="18" xfId="0" applyFont="1" applyFill="1" applyBorder="1" applyAlignment="1">
      <alignment horizontal="center" vertical="center"/>
    </xf>
    <xf numFmtId="0" fontId="10" fillId="8" borderId="19" xfId="0" applyFont="1" applyFill="1" applyBorder="1" applyAlignment="1">
      <alignment horizontal="center" vertical="center"/>
    </xf>
    <xf numFmtId="0" fontId="10" fillId="8" borderId="4" xfId="0" applyFont="1" applyFill="1" applyBorder="1" applyAlignment="1">
      <alignment horizontal="center" vertical="center"/>
    </xf>
    <xf numFmtId="169" fontId="7" fillId="6" borderId="1" xfId="0" applyNumberFormat="1" applyFont="1" applyFill="1" applyBorder="1" applyAlignment="1">
      <alignment horizontal="center"/>
    </xf>
    <xf numFmtId="169" fontId="7" fillId="0" borderId="1" xfId="0" applyNumberFormat="1" applyFont="1" applyBorder="1" applyAlignment="1">
      <alignment horizontal="center"/>
    </xf>
    <xf numFmtId="2" fontId="7" fillId="0" borderId="3" xfId="0" applyNumberFormat="1" applyFont="1" applyBorder="1" applyAlignment="1">
      <alignment horizontal="center" vertical="center"/>
    </xf>
    <xf numFmtId="2" fontId="7" fillId="0" borderId="1" xfId="0" applyNumberFormat="1" applyFont="1" applyBorder="1" applyAlignment="1">
      <alignment horizontal="center" vertical="center"/>
    </xf>
    <xf numFmtId="9" fontId="11" fillId="8" borderId="1" xfId="0" applyNumberFormat="1" applyFont="1" applyFill="1" applyBorder="1" applyAlignment="1">
      <alignment horizontal="center" vertical="center"/>
    </xf>
    <xf numFmtId="0" fontId="10" fillId="6" borderId="1" xfId="0" applyFont="1" applyFill="1" applyBorder="1" applyAlignment="1">
      <alignment horizontal="center" vertical="center"/>
    </xf>
    <xf numFmtId="169" fontId="7" fillId="0" borderId="3" xfId="0" applyNumberFormat="1" applyFont="1" applyBorder="1" applyAlignment="1">
      <alignment horizontal="center" vertical="center"/>
    </xf>
    <xf numFmtId="169" fontId="7" fillId="0" borderId="1" xfId="0" applyNumberFormat="1" applyFont="1" applyBorder="1" applyAlignment="1">
      <alignment horizontal="center" vertical="center"/>
    </xf>
    <xf numFmtId="165" fontId="7" fillId="0" borderId="3" xfId="0" applyNumberFormat="1" applyFont="1" applyBorder="1" applyAlignment="1">
      <alignment horizontal="center" vertical="center"/>
    </xf>
    <xf numFmtId="165" fontId="7" fillId="0" borderId="1" xfId="0" applyNumberFormat="1" applyFont="1" applyBorder="1" applyAlignment="1">
      <alignment horizontal="center" vertical="center"/>
    </xf>
    <xf numFmtId="0" fontId="7" fillId="0" borderId="0" xfId="0" applyFont="1" applyAlignment="1">
      <alignment horizontal="center"/>
    </xf>
    <xf numFmtId="167" fontId="14" fillId="0" borderId="1" xfId="2" applyNumberFormat="1" applyFont="1" applyBorder="1" applyAlignment="1">
      <alignment horizontal="center" vertical="center"/>
    </xf>
    <xf numFmtId="1" fontId="7" fillId="0" borderId="1" xfId="0" applyNumberFormat="1" applyFont="1" applyBorder="1" applyAlignment="1">
      <alignment horizontal="center" vertical="center"/>
    </xf>
    <xf numFmtId="165" fontId="7" fillId="0" borderId="1" xfId="0" applyNumberFormat="1" applyFont="1" applyBorder="1" applyAlignment="1">
      <alignment horizontal="center"/>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5" fillId="0" borderId="3" xfId="0" applyFont="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wrapText="1"/>
    </xf>
    <xf numFmtId="169" fontId="15" fillId="0" borderId="3" xfId="0" applyNumberFormat="1" applyFont="1" applyBorder="1" applyAlignment="1">
      <alignment horizontal="center" vertical="center"/>
    </xf>
    <xf numFmtId="169" fontId="15" fillId="0" borderId="1" xfId="0" applyNumberFormat="1" applyFont="1" applyBorder="1" applyAlignment="1">
      <alignment horizontal="center" vertical="center"/>
    </xf>
    <xf numFmtId="0" fontId="11" fillId="0" borderId="0" xfId="0" applyFont="1" applyAlignment="1">
      <alignment horizontal="center" vertical="center" wrapText="1"/>
    </xf>
    <xf numFmtId="0" fontId="18" fillId="0" borderId="0" xfId="0" applyFont="1" applyAlignment="1">
      <alignment horizontal="center" vertical="center"/>
    </xf>
    <xf numFmtId="0" fontId="18" fillId="0" borderId="1" xfId="0" applyFont="1" applyBorder="1" applyAlignment="1">
      <alignment vertical="center" wrapText="1"/>
    </xf>
    <xf numFmtId="169" fontId="18" fillId="0" borderId="1" xfId="0" applyNumberFormat="1" applyFont="1" applyBorder="1" applyAlignment="1">
      <alignment horizontal="center" vertical="center"/>
    </xf>
    <xf numFmtId="3" fontId="15" fillId="0" borderId="1" xfId="0" applyNumberFormat="1" applyFont="1" applyBorder="1" applyAlignment="1">
      <alignment horizont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166" fontId="15" fillId="0" borderId="1" xfId="0" applyNumberFormat="1" applyFont="1" applyBorder="1" applyAlignment="1">
      <alignment horizontal="center"/>
    </xf>
    <xf numFmtId="0" fontId="18" fillId="0" borderId="0" xfId="0" applyFont="1" applyAlignment="1">
      <alignment horizontal="left" vertical="center" wrapText="1"/>
    </xf>
    <xf numFmtId="169" fontId="18" fillId="0" borderId="0" xfId="0" applyNumberFormat="1" applyFont="1" applyAlignment="1">
      <alignment horizontal="center" vertical="center"/>
    </xf>
    <xf numFmtId="169" fontId="7" fillId="0" borderId="0" xfId="0" applyNumberFormat="1" applyFont="1" applyAlignment="1">
      <alignment horizontal="center" vertical="center"/>
    </xf>
    <xf numFmtId="0" fontId="7" fillId="0" borderId="0" xfId="0" applyFont="1" applyAlignment="1">
      <alignment horizontal="center" vertical="center"/>
    </xf>
    <xf numFmtId="1" fontId="18" fillId="0" borderId="1" xfId="0" applyNumberFormat="1" applyFont="1" applyBorder="1" applyAlignment="1">
      <alignment horizontal="center" vertical="center"/>
    </xf>
    <xf numFmtId="3" fontId="18" fillId="0" borderId="1" xfId="0" applyNumberFormat="1" applyFont="1" applyBorder="1" applyAlignment="1">
      <alignment horizontal="center" vertical="center"/>
    </xf>
    <xf numFmtId="2" fontId="18" fillId="0" borderId="1" xfId="0" applyNumberFormat="1" applyFont="1" applyBorder="1" applyAlignment="1">
      <alignment horizontal="center" vertical="center"/>
    </xf>
    <xf numFmtId="0" fontId="22" fillId="0" borderId="0" xfId="0" applyFont="1" applyAlignment="1">
      <alignment horizontal="left" vertical="center" wrapText="1"/>
    </xf>
    <xf numFmtId="171" fontId="15" fillId="0" borderId="1" xfId="0" applyNumberFormat="1" applyFont="1" applyBorder="1" applyAlignment="1">
      <alignment horizontal="center"/>
    </xf>
    <xf numFmtId="3" fontId="20" fillId="0" borderId="0" xfId="0" applyNumberFormat="1" applyFont="1"/>
    <xf numFmtId="171" fontId="20" fillId="0" borderId="0" xfId="0" applyNumberFormat="1" applyFont="1"/>
    <xf numFmtId="166" fontId="20" fillId="0" borderId="0" xfId="0" applyNumberFormat="1" applyFont="1"/>
    <xf numFmtId="0" fontId="25" fillId="0" borderId="0" xfId="0" applyFont="1" applyAlignment="1">
      <alignment horizontal="left" vertical="center"/>
    </xf>
    <xf numFmtId="0" fontId="22" fillId="0" borderId="0" xfId="0" applyFont="1" applyAlignment="1">
      <alignment horizontal="left" vertical="center"/>
    </xf>
    <xf numFmtId="0" fontId="25" fillId="0" borderId="0" xfId="0" applyFont="1" applyAlignment="1">
      <alignment horizontal="justify" vertical="center"/>
    </xf>
    <xf numFmtId="0" fontId="9" fillId="0" borderId="1" xfId="0" applyFont="1" applyBorder="1" applyAlignment="1">
      <alignment horizontal="right"/>
    </xf>
    <xf numFmtId="0" fontId="26" fillId="0" borderId="1" xfId="0" applyFont="1" applyBorder="1"/>
    <xf numFmtId="0" fontId="7" fillId="3" borderId="1" xfId="0" applyFont="1" applyFill="1" applyBorder="1" applyAlignment="1">
      <alignment horizontal="center"/>
    </xf>
    <xf numFmtId="0" fontId="7" fillId="2" borderId="1" xfId="0" applyFont="1" applyFill="1" applyBorder="1" applyAlignment="1">
      <alignment horizontal="center"/>
    </xf>
    <xf numFmtId="1" fontId="7" fillId="0" borderId="1" xfId="0" applyNumberFormat="1" applyFont="1" applyBorder="1" applyAlignment="1">
      <alignment horizontal="center" vertical="center" wrapText="1"/>
    </xf>
    <xf numFmtId="3" fontId="7" fillId="4" borderId="1" xfId="0" applyNumberFormat="1" applyFont="1" applyFill="1" applyBorder="1"/>
    <xf numFmtId="0" fontId="10" fillId="4" borderId="5" xfId="0" applyFont="1" applyFill="1" applyBorder="1"/>
    <xf numFmtId="0" fontId="7" fillId="5" borderId="1" xfId="0" applyFont="1" applyFill="1" applyBorder="1"/>
    <xf numFmtId="164" fontId="7" fillId="0" borderId="1" xfId="0" applyNumberFormat="1" applyFont="1" applyBorder="1"/>
    <xf numFmtId="164" fontId="7" fillId="0" borderId="2" xfId="0" applyNumberFormat="1" applyFont="1" applyBorder="1"/>
    <xf numFmtId="164" fontId="7" fillId="0" borderId="3" xfId="0" applyNumberFormat="1" applyFont="1" applyBorder="1"/>
    <xf numFmtId="164" fontId="7" fillId="0" borderId="5" xfId="0" applyNumberFormat="1" applyFont="1" applyBorder="1"/>
    <xf numFmtId="0" fontId="10" fillId="6" borderId="1"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7" fillId="3" borderId="4" xfId="0" applyFont="1" applyFill="1" applyBorder="1"/>
    <xf numFmtId="0" fontId="7" fillId="0" borderId="1" xfId="0" applyFont="1" applyBorder="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horizontal="right" vertical="center" wrapText="1"/>
    </xf>
    <xf numFmtId="0" fontId="7" fillId="0" borderId="1" xfId="0" applyFont="1" applyBorder="1" applyAlignment="1">
      <alignment horizontal="right" vertical="center"/>
    </xf>
    <xf numFmtId="165" fontId="7" fillId="0" borderId="1" xfId="0" applyNumberFormat="1" applyFont="1" applyBorder="1" applyAlignment="1">
      <alignment horizontal="right" vertical="center"/>
    </xf>
    <xf numFmtId="165" fontId="7" fillId="0" borderId="1" xfId="0" applyNumberFormat="1" applyFont="1" applyBorder="1" applyAlignment="1">
      <alignment horizontal="right" vertical="center" wrapText="1"/>
    </xf>
    <xf numFmtId="0" fontId="10" fillId="6" borderId="1" xfId="0" applyFont="1" applyFill="1" applyBorder="1" applyAlignment="1">
      <alignment vertical="center"/>
    </xf>
    <xf numFmtId="0" fontId="11" fillId="8" borderId="1" xfId="0" applyFont="1" applyFill="1" applyBorder="1" applyAlignment="1">
      <alignment horizontal="left" vertical="center" wrapText="1"/>
    </xf>
    <xf numFmtId="0" fontId="29" fillId="0" borderId="0" xfId="0" applyFont="1"/>
    <xf numFmtId="0" fontId="7" fillId="0" borderId="1" xfId="0" applyFont="1" applyBorder="1" applyAlignment="1">
      <alignment vertical="center" wrapText="1"/>
    </xf>
    <xf numFmtId="2" fontId="7" fillId="0" borderId="1" xfId="0" applyNumberFormat="1" applyFont="1" applyBorder="1" applyAlignment="1">
      <alignment horizontal="right" vertical="center"/>
    </xf>
    <xf numFmtId="2" fontId="7" fillId="0" borderId="1" xfId="0" applyNumberFormat="1" applyFont="1" applyBorder="1" applyAlignment="1">
      <alignment horizontal="right" vertical="center" wrapText="1"/>
    </xf>
    <xf numFmtId="0" fontId="10" fillId="10" borderId="1" xfId="0" applyFont="1" applyFill="1" applyBorder="1" applyAlignment="1">
      <alignment horizontal="left" vertical="center"/>
    </xf>
    <xf numFmtId="0" fontId="10" fillId="10" borderId="1" xfId="0" applyFont="1" applyFill="1" applyBorder="1" applyAlignment="1">
      <alignment horizontal="center" vertical="center"/>
    </xf>
    <xf numFmtId="0" fontId="10" fillId="10" borderId="1" xfId="0" applyFont="1" applyFill="1" applyBorder="1" applyAlignment="1">
      <alignment horizontal="center" vertical="center" wrapText="1"/>
    </xf>
    <xf numFmtId="0" fontId="7" fillId="10" borderId="1" xfId="0" applyFont="1" applyFill="1" applyBorder="1"/>
    <xf numFmtId="0" fontId="11" fillId="10" borderId="1" xfId="0" applyFont="1" applyFill="1" applyBorder="1" applyAlignment="1">
      <alignment horizontal="center" vertical="center"/>
    </xf>
    <xf numFmtId="0" fontId="10" fillId="9" borderId="1" xfId="0" applyFont="1" applyFill="1" applyBorder="1" applyAlignment="1">
      <alignment horizontal="center" vertical="center" wrapText="1"/>
    </xf>
    <xf numFmtId="0" fontId="10" fillId="10" borderId="1" xfId="0" applyFont="1" applyFill="1" applyBorder="1" applyAlignment="1">
      <alignment vertical="center"/>
    </xf>
    <xf numFmtId="0" fontId="11" fillId="10" borderId="1" xfId="0" applyFont="1" applyFill="1" applyBorder="1" applyAlignment="1">
      <alignment horizontal="left" vertical="center"/>
    </xf>
    <xf numFmtId="0" fontId="11" fillId="10" borderId="1" xfId="0" applyFont="1" applyFill="1" applyBorder="1" applyAlignment="1">
      <alignment horizontal="center" vertical="center" wrapText="1"/>
    </xf>
    <xf numFmtId="0" fontId="11" fillId="10" borderId="1" xfId="0" applyFont="1" applyFill="1" applyBorder="1" applyAlignment="1">
      <alignment horizontal="left" vertical="center" wrapText="1"/>
    </xf>
    <xf numFmtId="0" fontId="10" fillId="9" borderId="1" xfId="0" applyFont="1" applyFill="1" applyBorder="1" applyAlignment="1">
      <alignment vertical="center" wrapText="1"/>
    </xf>
    <xf numFmtId="0" fontId="11" fillId="9" borderId="1" xfId="0" applyFont="1" applyFill="1" applyBorder="1" applyAlignment="1">
      <alignment horizontal="left" vertical="center" wrapText="1"/>
    </xf>
    <xf numFmtId="0" fontId="10" fillId="9" borderId="1" xfId="0" applyFont="1" applyFill="1" applyBorder="1" applyAlignment="1">
      <alignment horizontal="center" vertical="center"/>
    </xf>
    <xf numFmtId="9" fontId="11" fillId="10" borderId="1" xfId="0" applyNumberFormat="1" applyFont="1" applyFill="1" applyBorder="1" applyAlignment="1">
      <alignment horizontal="center" vertical="center"/>
    </xf>
    <xf numFmtId="0" fontId="10" fillId="9" borderId="1" xfId="0" applyFont="1" applyFill="1" applyBorder="1" applyAlignment="1">
      <alignment horizontal="left" vertical="center" wrapText="1"/>
    </xf>
    <xf numFmtId="166" fontId="15" fillId="9" borderId="1" xfId="0" applyNumberFormat="1" applyFont="1" applyFill="1" applyBorder="1" applyAlignment="1">
      <alignment horizontal="center"/>
    </xf>
    <xf numFmtId="3" fontId="10" fillId="10" borderId="6" xfId="0" applyNumberFormat="1" applyFont="1" applyFill="1" applyBorder="1"/>
    <xf numFmtId="3" fontId="7" fillId="9" borderId="8" xfId="0" applyNumberFormat="1" applyFont="1" applyFill="1" applyBorder="1"/>
    <xf numFmtId="3" fontId="10" fillId="9" borderId="6" xfId="0" applyNumberFormat="1" applyFont="1" applyFill="1" applyBorder="1"/>
    <xf numFmtId="3" fontId="7" fillId="10" borderId="9" xfId="0" applyNumberFormat="1" applyFont="1" applyFill="1" applyBorder="1"/>
    <xf numFmtId="3" fontId="10" fillId="9" borderId="1" xfId="0" applyNumberFormat="1" applyFont="1" applyFill="1" applyBorder="1"/>
    <xf numFmtId="0" fontId="10" fillId="9" borderId="1" xfId="0" applyFont="1" applyFill="1" applyBorder="1"/>
    <xf numFmtId="0" fontId="7" fillId="9" borderId="1" xfId="0" applyFont="1" applyFill="1" applyBorder="1"/>
    <xf numFmtId="164" fontId="10" fillId="9" borderId="1" xfId="1" applyNumberFormat="1" applyFont="1" applyFill="1" applyBorder="1"/>
    <xf numFmtId="0" fontId="10" fillId="9" borderId="1" xfId="1" applyFont="1" applyFill="1" applyBorder="1"/>
    <xf numFmtId="164" fontId="7" fillId="9" borderId="1" xfId="1" applyNumberFormat="1" applyFont="1" applyFill="1" applyBorder="1"/>
    <xf numFmtId="10" fontId="7" fillId="9" borderId="1" xfId="1" applyNumberFormat="1" applyFont="1" applyFill="1" applyBorder="1"/>
    <xf numFmtId="168" fontId="7" fillId="9" borderId="1" xfId="1" applyNumberFormat="1" applyFont="1" applyFill="1" applyBorder="1"/>
    <xf numFmtId="3" fontId="10" fillId="10" borderId="4" xfId="0" applyNumberFormat="1" applyFont="1" applyFill="1" applyBorder="1"/>
    <xf numFmtId="164" fontId="10" fillId="10" borderId="1" xfId="0" applyNumberFormat="1" applyFont="1" applyFill="1" applyBorder="1"/>
    <xf numFmtId="164" fontId="10" fillId="10" borderId="7" xfId="0" applyNumberFormat="1" applyFont="1" applyFill="1" applyBorder="1"/>
    <xf numFmtId="4" fontId="7" fillId="0" borderId="1" xfId="0" applyNumberFormat="1" applyFont="1" applyBorder="1"/>
    <xf numFmtId="4" fontId="9" fillId="2" borderId="1" xfId="0" applyNumberFormat="1" applyFont="1" applyFill="1" applyBorder="1"/>
    <xf numFmtId="4" fontId="7" fillId="2" borderId="1" xfId="0" applyNumberFormat="1" applyFont="1" applyFill="1" applyBorder="1"/>
    <xf numFmtId="4" fontId="10" fillId="0" borderId="1" xfId="0" applyNumberFormat="1" applyFont="1" applyBorder="1" applyAlignment="1">
      <alignment wrapText="1"/>
    </xf>
    <xf numFmtId="4" fontId="10" fillId="0" borderId="1" xfId="0" applyNumberFormat="1" applyFont="1" applyBorder="1"/>
    <xf numFmtId="4" fontId="9" fillId="0" borderId="1" xfId="0" applyNumberFormat="1" applyFont="1" applyBorder="1"/>
    <xf numFmtId="4" fontId="7" fillId="0" borderId="0" xfId="0" applyNumberFormat="1" applyFont="1"/>
    <xf numFmtId="4" fontId="26" fillId="0" borderId="1" xfId="0" applyNumberFormat="1" applyFont="1" applyBorder="1"/>
    <xf numFmtId="4" fontId="26" fillId="2" borderId="1" xfId="0" applyNumberFormat="1" applyFont="1" applyFill="1" applyBorder="1"/>
    <xf numFmtId="4" fontId="7" fillId="9" borderId="8" xfId="0" applyNumberFormat="1" applyFont="1" applyFill="1" applyBorder="1"/>
    <xf numFmtId="4" fontId="7" fillId="10" borderId="9" xfId="0" applyNumberFormat="1" applyFont="1" applyFill="1" applyBorder="1"/>
    <xf numFmtId="4" fontId="10" fillId="9" borderId="6" xfId="0" applyNumberFormat="1" applyFont="1" applyFill="1" applyBorder="1"/>
    <xf numFmtId="4" fontId="10" fillId="10" borderId="6" xfId="0" applyNumberFormat="1" applyFont="1" applyFill="1" applyBorder="1"/>
    <xf numFmtId="4" fontId="10" fillId="0" borderId="3" xfId="0" applyNumberFormat="1" applyFont="1" applyBorder="1"/>
    <xf numFmtId="4" fontId="7" fillId="4" borderId="1" xfId="0" applyNumberFormat="1" applyFont="1" applyFill="1" applyBorder="1"/>
    <xf numFmtId="4" fontId="7" fillId="0" borderId="2" xfId="0" applyNumberFormat="1" applyFont="1" applyBorder="1"/>
    <xf numFmtId="4" fontId="7" fillId="2" borderId="2" xfId="0" applyNumberFormat="1" applyFont="1" applyFill="1" applyBorder="1"/>
    <xf numFmtId="4" fontId="7" fillId="4" borderId="3" xfId="0" applyNumberFormat="1" applyFont="1" applyFill="1" applyBorder="1"/>
    <xf numFmtId="4" fontId="7" fillId="0" borderId="3" xfId="0" applyNumberFormat="1" applyFont="1" applyBorder="1"/>
    <xf numFmtId="4" fontId="10" fillId="4" borderId="3" xfId="0" applyNumberFormat="1" applyFont="1" applyFill="1" applyBorder="1"/>
    <xf numFmtId="168" fontId="7" fillId="9" borderId="1" xfId="0" applyNumberFormat="1" applyFont="1" applyFill="1" applyBorder="1"/>
    <xf numFmtId="10" fontId="7" fillId="9" borderId="1" xfId="0" applyNumberFormat="1" applyFont="1" applyFill="1" applyBorder="1"/>
    <xf numFmtId="4" fontId="10" fillId="4" borderId="5" xfId="0" applyNumberFormat="1" applyFont="1" applyFill="1" applyBorder="1"/>
    <xf numFmtId="4" fontId="10" fillId="4" borderId="1" xfId="0" applyNumberFormat="1" applyFont="1" applyFill="1" applyBorder="1"/>
    <xf numFmtId="4" fontId="7" fillId="5" borderId="1" xfId="0" applyNumberFormat="1" applyFont="1" applyFill="1" applyBorder="1"/>
    <xf numFmtId="4" fontId="7" fillId="0" borderId="4" xfId="0" applyNumberFormat="1" applyFont="1" applyBorder="1"/>
    <xf numFmtId="4" fontId="7" fillId="9" borderId="1" xfId="0" applyNumberFormat="1" applyFont="1" applyFill="1" applyBorder="1"/>
    <xf numFmtId="4" fontId="7" fillId="3" borderId="1" xfId="0" applyNumberFormat="1" applyFont="1" applyFill="1" applyBorder="1"/>
    <xf numFmtId="4" fontId="7" fillId="3" borderId="4" xfId="0" applyNumberFormat="1" applyFont="1" applyFill="1" applyBorder="1"/>
    <xf numFmtId="10" fontId="10" fillId="9" borderId="1" xfId="2" applyNumberFormat="1" applyFont="1" applyFill="1" applyBorder="1"/>
    <xf numFmtId="0" fontId="9" fillId="0" borderId="23" xfId="0" applyFont="1" applyBorder="1"/>
    <xf numFmtId="0" fontId="9" fillId="0" borderId="24" xfId="0" applyFont="1" applyBorder="1"/>
    <xf numFmtId="0" fontId="9" fillId="0" borderId="25" xfId="0" applyFont="1" applyBorder="1"/>
    <xf numFmtId="0" fontId="9" fillId="3" borderId="30" xfId="0" applyFont="1" applyFill="1" applyBorder="1" applyAlignment="1">
      <alignment horizontal="center"/>
    </xf>
    <xf numFmtId="0" fontId="9" fillId="3" borderId="31" xfId="0" applyFont="1" applyFill="1" applyBorder="1" applyAlignment="1">
      <alignment horizontal="center"/>
    </xf>
    <xf numFmtId="0" fontId="9" fillId="3" borderId="29" xfId="0" applyFont="1" applyFill="1" applyBorder="1" applyAlignment="1">
      <alignment horizontal="center"/>
    </xf>
    <xf numFmtId="3" fontId="10" fillId="0" borderId="34" xfId="0" applyNumberFormat="1" applyFont="1" applyBorder="1"/>
    <xf numFmtId="0" fontId="37" fillId="0" borderId="0" xfId="5" applyFont="1"/>
    <xf numFmtId="0" fontId="38" fillId="0" borderId="0" xfId="5" applyFont="1"/>
    <xf numFmtId="0" fontId="40" fillId="0" borderId="0" xfId="5" applyFont="1"/>
    <xf numFmtId="0" fontId="38" fillId="0" borderId="36" xfId="5" applyFont="1" applyBorder="1" applyAlignment="1">
      <alignment horizontal="center"/>
    </xf>
    <xf numFmtId="0" fontId="38" fillId="0" borderId="19" xfId="5" applyFont="1" applyBorder="1" applyAlignment="1">
      <alignment horizontal="right"/>
    </xf>
    <xf numFmtId="0" fontId="38" fillId="0" borderId="36" xfId="5" applyFont="1" applyBorder="1" applyAlignment="1">
      <alignment horizontal="right"/>
    </xf>
    <xf numFmtId="0" fontId="38" fillId="0" borderId="18" xfId="5" applyFont="1" applyBorder="1" applyAlignment="1">
      <alignment horizontal="right"/>
    </xf>
    <xf numFmtId="0" fontId="38" fillId="0" borderId="18" xfId="5" applyFont="1" applyBorder="1" applyAlignment="1">
      <alignment horizontal="right" vertical="center"/>
    </xf>
    <xf numFmtId="0" fontId="38" fillId="0" borderId="37" xfId="5" applyFont="1" applyBorder="1" applyAlignment="1">
      <alignment horizontal="center"/>
    </xf>
    <xf numFmtId="0" fontId="38" fillId="0" borderId="38" xfId="5" applyFont="1" applyBorder="1" applyAlignment="1">
      <alignment horizontal="right"/>
    </xf>
    <xf numFmtId="0" fontId="38" fillId="0" borderId="0" xfId="5" applyFont="1" applyAlignment="1">
      <alignment horizontal="center"/>
    </xf>
    <xf numFmtId="0" fontId="38" fillId="0" borderId="38" xfId="5" applyFont="1" applyBorder="1" applyAlignment="1">
      <alignment horizontal="center"/>
    </xf>
    <xf numFmtId="0" fontId="38" fillId="0" borderId="39" xfId="5" applyFont="1" applyBorder="1" applyAlignment="1">
      <alignment horizontal="center"/>
    </xf>
    <xf numFmtId="0" fontId="38" fillId="0" borderId="33" xfId="5" applyFont="1" applyBorder="1" applyAlignment="1">
      <alignment horizontal="center"/>
    </xf>
    <xf numFmtId="0" fontId="41" fillId="0" borderId="39" xfId="5" applyFont="1" applyBorder="1" applyAlignment="1">
      <alignment horizontal="center"/>
    </xf>
    <xf numFmtId="0" fontId="41" fillId="0" borderId="35" xfId="5" applyFont="1" applyBorder="1" applyAlignment="1">
      <alignment horizontal="center"/>
    </xf>
    <xf numFmtId="0" fontId="41" fillId="0" borderId="33" xfId="5" applyFont="1" applyBorder="1" applyAlignment="1">
      <alignment horizontal="center"/>
    </xf>
    <xf numFmtId="0" fontId="42" fillId="0" borderId="36" xfId="5" applyFont="1" applyBorder="1" applyAlignment="1">
      <alignment horizontal="center"/>
    </xf>
    <xf numFmtId="0" fontId="42" fillId="0" borderId="18" xfId="5" applyFont="1" applyBorder="1" applyAlignment="1">
      <alignment horizontal="center"/>
    </xf>
    <xf numFmtId="0" fontId="42" fillId="0" borderId="19" xfId="5" applyFont="1" applyBorder="1" applyAlignment="1">
      <alignment horizontal="center"/>
    </xf>
    <xf numFmtId="0" fontId="43" fillId="7" borderId="38" xfId="5" applyFont="1" applyFill="1" applyBorder="1"/>
    <xf numFmtId="0" fontId="42" fillId="0" borderId="37" xfId="5" applyFont="1" applyBorder="1" applyAlignment="1">
      <alignment horizontal="center"/>
    </xf>
    <xf numFmtId="0" fontId="42" fillId="0" borderId="0" xfId="5" applyFont="1" applyAlignment="1">
      <alignment horizontal="center"/>
    </xf>
    <xf numFmtId="0" fontId="42" fillId="0" borderId="38" xfId="5" applyFont="1" applyBorder="1" applyAlignment="1">
      <alignment horizontal="center"/>
    </xf>
    <xf numFmtId="0" fontId="38" fillId="0" borderId="37" xfId="5" applyFont="1" applyBorder="1" applyAlignment="1">
      <alignment horizontal="center" vertical="center"/>
    </xf>
    <xf numFmtId="0" fontId="44" fillId="0" borderId="38" xfId="5" applyFont="1" applyBorder="1"/>
    <xf numFmtId="165" fontId="38" fillId="0" borderId="37" xfId="5" applyNumberFormat="1" applyFont="1" applyBorder="1" applyAlignment="1">
      <alignment horizontal="center"/>
    </xf>
    <xf numFmtId="165" fontId="38" fillId="0" borderId="0" xfId="5" applyNumberFormat="1" applyFont="1" applyAlignment="1">
      <alignment horizontal="center"/>
    </xf>
    <xf numFmtId="165" fontId="38" fillId="0" borderId="38" xfId="5" applyNumberFormat="1" applyFont="1" applyBorder="1" applyAlignment="1">
      <alignment horizontal="center"/>
    </xf>
    <xf numFmtId="0" fontId="38" fillId="0" borderId="38" xfId="5" applyFont="1" applyBorder="1"/>
    <xf numFmtId="165" fontId="44" fillId="0" borderId="37" xfId="5" applyNumberFormat="1" applyFont="1" applyBorder="1" applyAlignment="1">
      <alignment horizontal="center"/>
    </xf>
    <xf numFmtId="165" fontId="44" fillId="0" borderId="0" xfId="5" applyNumberFormat="1" applyFont="1" applyAlignment="1">
      <alignment horizontal="center"/>
    </xf>
    <xf numFmtId="165" fontId="38" fillId="0" borderId="39" xfId="5" applyNumberFormat="1" applyFont="1" applyBorder="1" applyAlignment="1">
      <alignment horizontal="center"/>
    </xf>
    <xf numFmtId="165" fontId="38" fillId="0" borderId="35" xfId="5" applyNumberFormat="1" applyFont="1" applyBorder="1" applyAlignment="1">
      <alignment horizontal="center"/>
    </xf>
    <xf numFmtId="165" fontId="38" fillId="0" borderId="33" xfId="5" applyNumberFormat="1" applyFont="1" applyBorder="1" applyAlignment="1">
      <alignment horizontal="center"/>
    </xf>
    <xf numFmtId="0" fontId="44" fillId="0" borderId="19" xfId="5" applyFont="1" applyBorder="1"/>
    <xf numFmtId="165" fontId="38" fillId="0" borderId="36" xfId="5" applyNumberFormat="1" applyFont="1" applyBorder="1" applyAlignment="1">
      <alignment horizontal="center"/>
    </xf>
    <xf numFmtId="165" fontId="38" fillId="0" borderId="18" xfId="5" applyNumberFormat="1" applyFont="1" applyBorder="1" applyAlignment="1">
      <alignment horizontal="center"/>
    </xf>
    <xf numFmtId="165" fontId="38" fillId="0" borderId="19" xfId="5" applyNumberFormat="1" applyFont="1" applyBorder="1" applyAlignment="1">
      <alignment horizontal="center"/>
    </xf>
    <xf numFmtId="0" fontId="45" fillId="0" borderId="38" xfId="5" applyFont="1" applyBorder="1"/>
    <xf numFmtId="0" fontId="45" fillId="0" borderId="33" xfId="5" applyFont="1" applyBorder="1"/>
    <xf numFmtId="0" fontId="38" fillId="0" borderId="35" xfId="5" applyFont="1" applyBorder="1" applyAlignment="1">
      <alignment horizontal="center"/>
    </xf>
    <xf numFmtId="0" fontId="35" fillId="0" borderId="0" xfId="5" applyFont="1"/>
    <xf numFmtId="0" fontId="46" fillId="0" borderId="0" xfId="5" applyFont="1"/>
    <xf numFmtId="0" fontId="38" fillId="0" borderId="0" xfId="5" applyFont="1" applyAlignment="1">
      <alignment horizontal="right"/>
    </xf>
    <xf numFmtId="0" fontId="48" fillId="0" borderId="0" xfId="5" applyFont="1"/>
    <xf numFmtId="0" fontId="44" fillId="0" borderId="0" xfId="5" applyFont="1"/>
    <xf numFmtId="0" fontId="49" fillId="0" borderId="0" xfId="5" applyFont="1"/>
    <xf numFmtId="0" fontId="38" fillId="0" borderId="36" xfId="5" applyFont="1" applyBorder="1"/>
    <xf numFmtId="0" fontId="38" fillId="0" borderId="18" xfId="5" applyFont="1" applyBorder="1"/>
    <xf numFmtId="0" fontId="44" fillId="0" borderId="18" xfId="5" applyFont="1" applyBorder="1" applyAlignment="1">
      <alignment horizontal="right"/>
    </xf>
    <xf numFmtId="0" fontId="44" fillId="0" borderId="19" xfId="5" applyFont="1" applyBorder="1" applyAlignment="1">
      <alignment horizontal="right"/>
    </xf>
    <xf numFmtId="0" fontId="38" fillId="0" borderId="37" xfId="5" applyFont="1" applyBorder="1"/>
    <xf numFmtId="0" fontId="44" fillId="0" borderId="0" xfId="5" applyFont="1" applyAlignment="1">
      <alignment horizontal="center"/>
    </xf>
    <xf numFmtId="0" fontId="44" fillId="0" borderId="38" xfId="5" applyFont="1" applyBorder="1" applyAlignment="1">
      <alignment horizontal="center"/>
    </xf>
    <xf numFmtId="0" fontId="41" fillId="0" borderId="37" xfId="5" applyFont="1" applyBorder="1" applyAlignment="1">
      <alignment horizontal="center"/>
    </xf>
    <xf numFmtId="0" fontId="41" fillId="0" borderId="0" xfId="5" applyFont="1" applyAlignment="1">
      <alignment horizontal="center"/>
    </xf>
    <xf numFmtId="0" fontId="50" fillId="0" borderId="0" xfId="5" applyFont="1" applyAlignment="1">
      <alignment horizontal="center"/>
    </xf>
    <xf numFmtId="0" fontId="50" fillId="0" borderId="38" xfId="5" applyFont="1" applyBorder="1" applyAlignment="1">
      <alignment horizontal="center"/>
    </xf>
    <xf numFmtId="0" fontId="38" fillId="0" borderId="19" xfId="5" applyFont="1" applyBorder="1" applyAlignment="1">
      <alignment horizontal="center"/>
    </xf>
    <xf numFmtId="0" fontId="42" fillId="0" borderId="36" xfId="5" applyFont="1" applyBorder="1" applyAlignment="1">
      <alignment horizontal="center" vertical="center"/>
    </xf>
    <xf numFmtId="0" fontId="42" fillId="0" borderId="18" xfId="5" applyFont="1" applyBorder="1" applyAlignment="1">
      <alignment horizontal="center" vertical="center"/>
    </xf>
    <xf numFmtId="0" fontId="51" fillId="0" borderId="18" xfId="5" applyFont="1" applyBorder="1" applyAlignment="1">
      <alignment horizontal="center" vertical="center"/>
    </xf>
    <xf numFmtId="0" fontId="51" fillId="0" borderId="19" xfId="5" applyFont="1" applyBorder="1" applyAlignment="1">
      <alignment horizontal="center" vertical="center"/>
    </xf>
    <xf numFmtId="0" fontId="43" fillId="0" borderId="38" xfId="5" applyFont="1" applyBorder="1"/>
    <xf numFmtId="0" fontId="43" fillId="0" borderId="37" xfId="5" applyFont="1" applyBorder="1"/>
    <xf numFmtId="0" fontId="43" fillId="0" borderId="0" xfId="5" applyFont="1"/>
    <xf numFmtId="165" fontId="44" fillId="0" borderId="38" xfId="5" applyNumberFormat="1" applyFont="1" applyBorder="1" applyAlignment="1">
      <alignment horizontal="center"/>
    </xf>
    <xf numFmtId="0" fontId="51" fillId="0" borderId="38" xfId="5" applyFont="1" applyBorder="1"/>
    <xf numFmtId="165" fontId="46" fillId="0" borderId="37" xfId="5" applyNumberFormat="1" applyFont="1" applyBorder="1" applyAlignment="1">
      <alignment horizontal="center"/>
    </xf>
    <xf numFmtId="165" fontId="46" fillId="0" borderId="0" xfId="5" applyNumberFormat="1" applyFont="1" applyAlignment="1">
      <alignment horizontal="center"/>
    </xf>
    <xf numFmtId="165" fontId="46" fillId="0" borderId="38" xfId="5" applyNumberFormat="1" applyFont="1" applyBorder="1" applyAlignment="1">
      <alignment horizontal="center"/>
    </xf>
    <xf numFmtId="165" fontId="38" fillId="0" borderId="0" xfId="5" applyNumberFormat="1" applyFont="1"/>
    <xf numFmtId="0" fontId="38" fillId="0" borderId="39" xfId="5" applyFont="1" applyBorder="1"/>
    <xf numFmtId="0" fontId="51" fillId="0" borderId="33" xfId="5" applyFont="1" applyBorder="1"/>
    <xf numFmtId="0" fontId="35" fillId="0" borderId="39" xfId="5" applyFont="1" applyBorder="1" applyAlignment="1">
      <alignment horizontal="center"/>
    </xf>
    <xf numFmtId="0" fontId="35" fillId="0" borderId="35" xfId="5" applyFont="1" applyBorder="1" applyAlignment="1">
      <alignment horizontal="center"/>
    </xf>
    <xf numFmtId="0" fontId="46" fillId="0" borderId="35" xfId="5" applyFont="1" applyBorder="1" applyAlignment="1">
      <alignment horizontal="center"/>
    </xf>
    <xf numFmtId="165" fontId="46" fillId="0" borderId="33" xfId="5" applyNumberFormat="1" applyFont="1" applyBorder="1" applyAlignment="1">
      <alignment horizontal="center"/>
    </xf>
    <xf numFmtId="0" fontId="51" fillId="0" borderId="19" xfId="5" applyFont="1" applyBorder="1"/>
    <xf numFmtId="0" fontId="35" fillId="0" borderId="36" xfId="5" applyFont="1" applyBorder="1" applyAlignment="1">
      <alignment horizontal="center"/>
    </xf>
    <xf numFmtId="0" fontId="35" fillId="0" borderId="18" xfId="5" applyFont="1" applyBorder="1" applyAlignment="1">
      <alignment horizontal="center"/>
    </xf>
    <xf numFmtId="165" fontId="46" fillId="0" borderId="18" xfId="5" applyNumberFormat="1" applyFont="1" applyBorder="1" applyAlignment="1">
      <alignment horizontal="center"/>
    </xf>
    <xf numFmtId="165" fontId="46" fillId="0" borderId="19" xfId="5" applyNumberFormat="1" applyFont="1" applyBorder="1" applyAlignment="1">
      <alignment horizontal="center"/>
    </xf>
    <xf numFmtId="165" fontId="44" fillId="0" borderId="38" xfId="5" applyNumberFormat="1" applyFont="1" applyBorder="1"/>
    <xf numFmtId="0" fontId="46" fillId="0" borderId="18" xfId="5" applyFont="1" applyBorder="1" applyAlignment="1">
      <alignment horizontal="center"/>
    </xf>
    <xf numFmtId="0" fontId="52" fillId="0" borderId="38" xfId="5" applyFont="1" applyBorder="1"/>
    <xf numFmtId="0" fontId="35" fillId="0" borderId="37" xfId="5" applyFont="1" applyBorder="1" applyAlignment="1">
      <alignment horizontal="center"/>
    </xf>
    <xf numFmtId="0" fontId="35" fillId="0" borderId="0" xfId="5" applyFont="1" applyAlignment="1">
      <alignment horizontal="center"/>
    </xf>
    <xf numFmtId="0" fontId="46" fillId="0" borderId="0" xfId="5" applyFont="1" applyAlignment="1">
      <alignment horizontal="center"/>
    </xf>
    <xf numFmtId="0" fontId="42" fillId="0" borderId="38" xfId="5" applyFont="1" applyBorder="1" applyAlignment="1">
      <alignment horizontal="left"/>
    </xf>
    <xf numFmtId="0" fontId="46" fillId="0" borderId="38" xfId="5" applyFont="1" applyBorder="1"/>
    <xf numFmtId="0" fontId="38" fillId="0" borderId="19" xfId="5" applyFont="1" applyBorder="1"/>
    <xf numFmtId="0" fontId="44" fillId="0" borderId="18" xfId="5" applyFont="1" applyBorder="1" applyAlignment="1">
      <alignment horizontal="center"/>
    </xf>
    <xf numFmtId="165" fontId="44" fillId="0" borderId="19" xfId="5" applyNumberFormat="1" applyFont="1" applyBorder="1" applyAlignment="1">
      <alignment horizontal="center"/>
    </xf>
    <xf numFmtId="0" fontId="35" fillId="0" borderId="38" xfId="5" applyFont="1" applyBorder="1"/>
    <xf numFmtId="0" fontId="38" fillId="0" borderId="38" xfId="5" applyFont="1" applyBorder="1" applyAlignment="1">
      <alignment horizontal="left"/>
    </xf>
    <xf numFmtId="0" fontId="38" fillId="0" borderId="33" xfId="5" applyFont="1" applyBorder="1"/>
    <xf numFmtId="0" fontId="38" fillId="0" borderId="35" xfId="5" applyFont="1" applyBorder="1"/>
    <xf numFmtId="0" fontId="44" fillId="0" borderId="35" xfId="5" applyFont="1" applyBorder="1"/>
    <xf numFmtId="0" fontId="44" fillId="0" borderId="33" xfId="5" applyFont="1" applyBorder="1"/>
    <xf numFmtId="165" fontId="44" fillId="0" borderId="0" xfId="5" applyNumberFormat="1" applyFont="1"/>
    <xf numFmtId="0" fontId="7" fillId="0" borderId="1" xfId="7" applyFont="1" applyBorder="1"/>
    <xf numFmtId="3" fontId="10" fillId="3" borderId="1" xfId="0" applyNumberFormat="1" applyFont="1" applyFill="1" applyBorder="1" applyAlignment="1">
      <alignment horizontal="left" vertical="center"/>
    </xf>
    <xf numFmtId="3" fontId="10" fillId="3" borderId="1" xfId="0" applyNumberFormat="1" applyFont="1" applyFill="1" applyBorder="1" applyAlignment="1">
      <alignment horizontal="center" vertical="center"/>
    </xf>
    <xf numFmtId="1" fontId="10" fillId="3" borderId="1" xfId="0" applyNumberFormat="1" applyFont="1" applyFill="1" applyBorder="1" applyAlignment="1">
      <alignment horizontal="center" vertical="center" wrapText="1"/>
    </xf>
    <xf numFmtId="4" fontId="10" fillId="4" borderId="1" xfId="0" applyNumberFormat="1" applyFont="1" applyFill="1" applyBorder="1" applyAlignment="1">
      <alignment horizontal="center" vertical="center" wrapText="1"/>
    </xf>
    <xf numFmtId="4" fontId="7" fillId="0" borderId="1" xfId="0" applyNumberFormat="1" applyFont="1" applyBorder="1" applyAlignment="1">
      <alignment horizontal="center"/>
    </xf>
    <xf numFmtId="3" fontId="7" fillId="0" borderId="1" xfId="0" applyNumberFormat="1" applyFont="1" applyBorder="1" applyAlignment="1">
      <alignment vertical="center"/>
    </xf>
    <xf numFmtId="4" fontId="53" fillId="9" borderId="1" xfId="0" applyNumberFormat="1" applyFont="1" applyFill="1" applyBorder="1" applyAlignment="1">
      <alignment horizontal="center"/>
    </xf>
    <xf numFmtId="4" fontId="10" fillId="0" borderId="1" xfId="0" applyNumberFormat="1" applyFont="1" applyBorder="1" applyAlignment="1">
      <alignment horizontal="center" vertical="center"/>
    </xf>
    <xf numFmtId="3" fontId="7" fillId="4" borderId="5" xfId="0" applyNumberFormat="1" applyFont="1" applyFill="1" applyBorder="1"/>
    <xf numFmtId="3" fontId="7" fillId="4" borderId="40" xfId="0" applyNumberFormat="1" applyFont="1" applyFill="1" applyBorder="1"/>
    <xf numFmtId="4" fontId="7" fillId="4" borderId="5" xfId="0" applyNumberFormat="1" applyFont="1" applyFill="1" applyBorder="1"/>
    <xf numFmtId="4" fontId="7" fillId="4" borderId="40" xfId="0" applyNumberFormat="1" applyFont="1" applyFill="1" applyBorder="1"/>
    <xf numFmtId="172" fontId="7" fillId="0" borderId="0" xfId="0" applyNumberFormat="1" applyFont="1"/>
    <xf numFmtId="0" fontId="4" fillId="0" borderId="0" xfId="9"/>
    <xf numFmtId="0" fontId="54" fillId="0" borderId="0" xfId="8"/>
    <xf numFmtId="0" fontId="56" fillId="11" borderId="41" xfId="10" applyFont="1" applyFill="1" applyBorder="1" applyAlignment="1">
      <alignment vertical="center"/>
    </xf>
    <xf numFmtId="0" fontId="54" fillId="11" borderId="42" xfId="8" applyFill="1" applyBorder="1"/>
    <xf numFmtId="0" fontId="54" fillId="11" borderId="12" xfId="8" applyFill="1" applyBorder="1"/>
    <xf numFmtId="0" fontId="57" fillId="11" borderId="43" xfId="11" applyFont="1" applyFill="1" applyBorder="1" applyAlignment="1">
      <alignment horizontal="left" vertical="center"/>
    </xf>
    <xf numFmtId="3" fontId="54" fillId="11" borderId="35" xfId="8" applyNumberFormat="1" applyFill="1" applyBorder="1" applyAlignment="1">
      <alignment horizontal="center" vertical="center"/>
    </xf>
    <xf numFmtId="3" fontId="54" fillId="11" borderId="20" xfId="8" applyNumberFormat="1" applyFill="1" applyBorder="1" applyAlignment="1">
      <alignment horizontal="center" vertical="center"/>
    </xf>
    <xf numFmtId="0" fontId="54" fillId="11" borderId="44" xfId="8" applyFill="1" applyBorder="1"/>
    <xf numFmtId="0" fontId="54" fillId="11" borderId="0" xfId="8" applyFill="1"/>
    <xf numFmtId="0" fontId="54" fillId="11" borderId="0" xfId="8" applyFill="1" applyAlignment="1">
      <alignment horizontal="center"/>
    </xf>
    <xf numFmtId="0" fontId="54" fillId="11" borderId="20" xfId="8" applyFill="1" applyBorder="1" applyAlignment="1">
      <alignment horizontal="center"/>
    </xf>
    <xf numFmtId="0" fontId="54" fillId="11" borderId="18" xfId="8" applyFill="1" applyBorder="1"/>
    <xf numFmtId="0" fontId="54" fillId="11" borderId="20" xfId="8" applyFill="1" applyBorder="1"/>
    <xf numFmtId="0" fontId="57" fillId="11" borderId="45" xfId="11" applyFont="1" applyFill="1" applyBorder="1" applyAlignment="1">
      <alignment horizontal="left" vertical="center"/>
    </xf>
    <xf numFmtId="3" fontId="54" fillId="11" borderId="47" xfId="8" applyNumberFormat="1" applyFill="1" applyBorder="1" applyAlignment="1">
      <alignment horizontal="center" vertical="center"/>
    </xf>
    <xf numFmtId="3" fontId="54" fillId="11" borderId="16" xfId="8" applyNumberFormat="1" applyFill="1" applyBorder="1" applyAlignment="1">
      <alignment horizontal="center" vertical="center"/>
    </xf>
    <xf numFmtId="0" fontId="59" fillId="0" borderId="0" xfId="8" applyFont="1" applyAlignment="1">
      <alignment vertical="center"/>
    </xf>
    <xf numFmtId="173" fontId="59" fillId="0" borderId="49" xfId="8" applyNumberFormat="1" applyFont="1" applyBorder="1" applyAlignment="1">
      <alignment vertical="center"/>
    </xf>
    <xf numFmtId="3" fontId="54" fillId="0" borderId="0" xfId="8" applyNumberFormat="1"/>
    <xf numFmtId="0" fontId="60" fillId="0" borderId="0" xfId="8" applyFont="1"/>
    <xf numFmtId="169" fontId="61" fillId="0" borderId="0" xfId="12" applyNumberFormat="1" applyFont="1" applyFill="1" applyBorder="1" applyAlignment="1">
      <alignment horizontal="center"/>
    </xf>
    <xf numFmtId="169" fontId="62" fillId="0" borderId="0" xfId="8" applyNumberFormat="1" applyFont="1"/>
    <xf numFmtId="0" fontId="63" fillId="0" borderId="0" xfId="10" applyFont="1" applyAlignment="1">
      <alignment horizontal="center"/>
    </xf>
    <xf numFmtId="0" fontId="63" fillId="0" borderId="0" xfId="10" applyFont="1"/>
    <xf numFmtId="0" fontId="63" fillId="0" borderId="0" xfId="10" applyFont="1" applyAlignment="1">
      <alignment horizontal="right"/>
    </xf>
    <xf numFmtId="0" fontId="64" fillId="0" borderId="0" xfId="10" applyFont="1"/>
    <xf numFmtId="0" fontId="57" fillId="0" borderId="0" xfId="11" applyFont="1" applyAlignment="1">
      <alignment horizontal="left" wrapText="1"/>
    </xf>
    <xf numFmtId="174" fontId="63" fillId="0" borderId="0" xfId="10" applyNumberFormat="1" applyFont="1" applyAlignment="1">
      <alignment horizontal="center"/>
    </xf>
    <xf numFmtId="174" fontId="63" fillId="0" borderId="0" xfId="10" applyNumberFormat="1" applyFont="1"/>
    <xf numFmtId="3" fontId="65" fillId="12" borderId="0" xfId="10" applyNumberFormat="1" applyFont="1" applyFill="1" applyAlignment="1">
      <alignment horizontal="center"/>
    </xf>
    <xf numFmtId="0" fontId="66" fillId="0" borderId="0" xfId="8" applyFont="1"/>
    <xf numFmtId="0" fontId="64" fillId="0" borderId="0" xfId="8" applyFont="1" applyAlignment="1">
      <alignment horizontal="center"/>
    </xf>
    <xf numFmtId="0" fontId="60" fillId="0" borderId="1" xfId="8" applyFont="1" applyBorder="1"/>
    <xf numFmtId="169" fontId="61" fillId="0" borderId="1" xfId="12" applyNumberFormat="1" applyFont="1" applyFill="1" applyBorder="1" applyAlignment="1">
      <alignment horizontal="center"/>
    </xf>
    <xf numFmtId="3" fontId="54" fillId="0" borderId="0" xfId="8" applyNumberFormat="1" applyAlignment="1">
      <alignment horizontal="center"/>
    </xf>
    <xf numFmtId="0" fontId="54" fillId="0" borderId="0" xfId="8" applyAlignment="1">
      <alignment horizontal="center"/>
    </xf>
    <xf numFmtId="0" fontId="57" fillId="0" borderId="0" xfId="11" applyFont="1" applyAlignment="1">
      <alignment horizontal="left"/>
    </xf>
    <xf numFmtId="0" fontId="68" fillId="0" borderId="0" xfId="8" applyFont="1"/>
    <xf numFmtId="0" fontId="68" fillId="0" borderId="0" xfId="8" applyFont="1" applyAlignment="1">
      <alignment horizontal="left"/>
    </xf>
    <xf numFmtId="2" fontId="54" fillId="0" borderId="0" xfId="8" applyNumberFormat="1" applyAlignment="1">
      <alignment horizontal="center"/>
    </xf>
    <xf numFmtId="0" fontId="66" fillId="0" borderId="0" xfId="8" applyFont="1" applyAlignment="1">
      <alignment horizontal="center"/>
    </xf>
    <xf numFmtId="169" fontId="62" fillId="0" borderId="0" xfId="8" applyNumberFormat="1" applyFont="1" applyAlignment="1">
      <alignment vertical="center"/>
    </xf>
    <xf numFmtId="43" fontId="54" fillId="0" borderId="0" xfId="13" applyFont="1"/>
    <xf numFmtId="173" fontId="59" fillId="0" borderId="0" xfId="8" applyNumberFormat="1" applyFont="1" applyAlignment="1">
      <alignment vertical="center"/>
    </xf>
    <xf numFmtId="0" fontId="57" fillId="11" borderId="8" xfId="11" applyFont="1" applyFill="1" applyBorder="1" applyAlignment="1">
      <alignment horizontal="left" vertical="center"/>
    </xf>
    <xf numFmtId="0" fontId="54" fillId="11" borderId="13" xfId="8" applyFill="1" applyBorder="1"/>
    <xf numFmtId="3" fontId="54" fillId="11" borderId="0" xfId="8" applyNumberFormat="1" applyFill="1" applyAlignment="1">
      <alignment horizontal="center"/>
    </xf>
    <xf numFmtId="0" fontId="57" fillId="11" borderId="28" xfId="11" applyFont="1" applyFill="1" applyBorder="1" applyAlignment="1">
      <alignment horizontal="left" vertical="center"/>
    </xf>
    <xf numFmtId="3" fontId="61" fillId="0" borderId="1" xfId="12" applyNumberFormat="1" applyFont="1" applyFill="1" applyBorder="1" applyAlignment="1">
      <alignment horizontal="center"/>
    </xf>
    <xf numFmtId="2" fontId="61" fillId="0" borderId="1" xfId="12" applyNumberFormat="1" applyFont="1" applyFill="1"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10" xfId="0" applyBorder="1" applyAlignment="1">
      <alignment horizontal="right"/>
    </xf>
    <xf numFmtId="2" fontId="0" fillId="0" borderId="52" xfId="0" applyNumberFormat="1" applyBorder="1" applyAlignment="1">
      <alignment horizontal="center"/>
    </xf>
    <xf numFmtId="0" fontId="0" fillId="0" borderId="13" xfId="0" applyBorder="1" applyAlignment="1">
      <alignment horizontal="right"/>
    </xf>
    <xf numFmtId="2" fontId="0" fillId="0" borderId="53" xfId="0" applyNumberFormat="1" applyBorder="1" applyAlignment="1">
      <alignment horizontal="center"/>
    </xf>
    <xf numFmtId="2" fontId="0" fillId="0" borderId="54" xfId="0" applyNumberFormat="1" applyBorder="1" applyAlignment="1">
      <alignment horizontal="center"/>
    </xf>
    <xf numFmtId="0" fontId="0" fillId="0" borderId="6" xfId="0" applyBorder="1" applyAlignment="1">
      <alignment horizontal="right"/>
    </xf>
    <xf numFmtId="0" fontId="0" fillId="0" borderId="55" xfId="0" applyBorder="1" applyAlignment="1">
      <alignment horizontal="right"/>
    </xf>
    <xf numFmtId="2" fontId="0" fillId="0" borderId="17" xfId="0" applyNumberFormat="1" applyBorder="1" applyAlignment="1">
      <alignment horizontal="center"/>
    </xf>
    <xf numFmtId="0" fontId="0" fillId="0" borderId="0" xfId="0" applyAlignment="1">
      <alignment wrapText="1"/>
    </xf>
    <xf numFmtId="2" fontId="19" fillId="0" borderId="6" xfId="0" applyNumberFormat="1" applyFont="1" applyBorder="1" applyAlignment="1">
      <alignment horizontal="center"/>
    </xf>
    <xf numFmtId="0" fontId="2" fillId="0" borderId="0" xfId="15"/>
    <xf numFmtId="0" fontId="69" fillId="0" borderId="0" xfId="15" applyFont="1" applyAlignment="1">
      <alignment horizontal="center"/>
    </xf>
    <xf numFmtId="0" fontId="70" fillId="0" borderId="1" xfId="15" applyFont="1" applyBorder="1" applyAlignment="1">
      <alignment horizontal="left" vertical="center"/>
    </xf>
    <xf numFmtId="3" fontId="2" fillId="0" borderId="0" xfId="15" applyNumberFormat="1" applyAlignment="1">
      <alignment horizontal="center"/>
    </xf>
    <xf numFmtId="0" fontId="69" fillId="0" borderId="0" xfId="15" applyFont="1"/>
    <xf numFmtId="3" fontId="2" fillId="0" borderId="0" xfId="15" applyNumberFormat="1" applyAlignment="1">
      <alignment horizontal="center" vertical="center"/>
    </xf>
    <xf numFmtId="3" fontId="2" fillId="0" borderId="0" xfId="15" applyNumberFormat="1"/>
    <xf numFmtId="4" fontId="2" fillId="0" borderId="0" xfId="15" applyNumberFormat="1" applyAlignment="1">
      <alignment horizontal="center"/>
    </xf>
    <xf numFmtId="0" fontId="70" fillId="0" borderId="1" xfId="15" applyFont="1" applyBorder="1" applyAlignment="1">
      <alignment vertical="center"/>
    </xf>
    <xf numFmtId="0" fontId="70" fillId="0" borderId="1" xfId="15" applyFont="1" applyBorder="1"/>
    <xf numFmtId="0" fontId="71" fillId="0" borderId="1" xfId="15" applyFont="1" applyBorder="1" applyAlignment="1">
      <alignment horizontal="left" vertical="center"/>
    </xf>
    <xf numFmtId="0" fontId="69" fillId="0" borderId="1" xfId="15" applyFont="1" applyBorder="1" applyAlignment="1">
      <alignment horizontal="center"/>
    </xf>
    <xf numFmtId="0" fontId="2" fillId="0" borderId="1" xfId="15" applyBorder="1"/>
    <xf numFmtId="0" fontId="2" fillId="0" borderId="1" xfId="15" applyBorder="1" applyAlignment="1">
      <alignment horizontal="center"/>
    </xf>
    <xf numFmtId="2" fontId="2" fillId="0" borderId="1" xfId="15" applyNumberFormat="1" applyBorder="1" applyAlignment="1">
      <alignment horizontal="center"/>
    </xf>
    <xf numFmtId="0" fontId="74" fillId="13" borderId="1" xfId="15" applyFont="1" applyFill="1" applyBorder="1" applyAlignment="1">
      <alignment vertical="center"/>
    </xf>
    <xf numFmtId="0" fontId="69" fillId="0" borderId="1" xfId="15" applyFont="1" applyBorder="1" applyAlignment="1">
      <alignment horizontal="center" vertical="center"/>
    </xf>
    <xf numFmtId="0" fontId="69" fillId="0" borderId="1" xfId="15" applyFont="1" applyBorder="1" applyAlignment="1">
      <alignment horizontal="center" vertical="center" wrapText="1"/>
    </xf>
    <xf numFmtId="0" fontId="2" fillId="0" borderId="0" xfId="15" applyAlignment="1">
      <alignment vertical="center"/>
    </xf>
    <xf numFmtId="0" fontId="2" fillId="0" borderId="1" xfId="15" applyBorder="1" applyAlignment="1">
      <alignment horizontal="center" vertical="center"/>
    </xf>
    <xf numFmtId="3" fontId="2" fillId="0" borderId="1" xfId="15" applyNumberFormat="1" applyBorder="1" applyAlignment="1">
      <alignment horizontal="center" vertical="center"/>
    </xf>
    <xf numFmtId="0" fontId="72" fillId="0" borderId="1" xfId="15" applyFont="1" applyBorder="1" applyAlignment="1">
      <alignment vertical="center"/>
    </xf>
    <xf numFmtId="0" fontId="72" fillId="0" borderId="1" xfId="15" applyFont="1" applyBorder="1"/>
    <xf numFmtId="0" fontId="2" fillId="0" borderId="4" xfId="15" applyBorder="1" applyAlignment="1">
      <alignment horizontal="center" vertical="center"/>
    </xf>
    <xf numFmtId="2" fontId="73" fillId="0" borderId="1" xfId="15" applyNumberFormat="1" applyFont="1" applyBorder="1" applyAlignment="1">
      <alignment horizontal="center" vertical="center"/>
    </xf>
    <xf numFmtId="0" fontId="74" fillId="13" borderId="5" xfId="15" applyFont="1" applyFill="1" applyBorder="1" applyAlignment="1">
      <alignment horizontal="left"/>
    </xf>
    <xf numFmtId="0" fontId="69" fillId="0" borderId="36" xfId="15" applyFont="1" applyBorder="1" applyAlignment="1">
      <alignment horizontal="center"/>
    </xf>
    <xf numFmtId="0" fontId="69" fillId="0" borderId="1" xfId="15" applyFont="1" applyBorder="1" applyAlignment="1">
      <alignment horizontal="center" wrapText="1"/>
    </xf>
    <xf numFmtId="0" fontId="74" fillId="13" borderId="1" xfId="15" applyFont="1" applyFill="1" applyBorder="1"/>
    <xf numFmtId="3" fontId="15" fillId="0" borderId="1" xfId="0" applyNumberFormat="1" applyFont="1" applyBorder="1"/>
    <xf numFmtId="164" fontId="7" fillId="14" borderId="1" xfId="1" applyNumberFormat="1" applyFont="1" applyFill="1" applyBorder="1"/>
    <xf numFmtId="0" fontId="6" fillId="0" borderId="28" xfId="0" applyFont="1" applyBorder="1" applyAlignment="1">
      <alignment horizontal="left" vertical="center"/>
    </xf>
    <xf numFmtId="0" fontId="6" fillId="0" borderId="0" xfId="16" applyAlignment="1">
      <alignment vertical="center"/>
    </xf>
    <xf numFmtId="0" fontId="6" fillId="0" borderId="0" xfId="16" applyAlignment="1">
      <alignment vertical="center" wrapText="1"/>
    </xf>
    <xf numFmtId="3" fontId="10" fillId="0" borderId="3" xfId="16" applyNumberFormat="1" applyFont="1" applyBorder="1"/>
    <xf numFmtId="0" fontId="10" fillId="0" borderId="3" xfId="16" applyFont="1" applyBorder="1"/>
    <xf numFmtId="0" fontId="7" fillId="0" borderId="0" xfId="16" applyFont="1"/>
    <xf numFmtId="3" fontId="10" fillId="0" borderId="2" xfId="16" applyNumberFormat="1" applyFont="1" applyBorder="1"/>
    <xf numFmtId="0" fontId="10" fillId="0" borderId="2" xfId="16" applyFont="1" applyBorder="1"/>
    <xf numFmtId="3" fontId="7" fillId="2" borderId="1" xfId="16" applyNumberFormat="1" applyFont="1" applyFill="1" applyBorder="1"/>
    <xf numFmtId="0" fontId="7" fillId="0" borderId="1" xfId="16" applyFont="1" applyBorder="1"/>
    <xf numFmtId="3" fontId="10" fillId="0" borderId="1" xfId="16" applyNumberFormat="1" applyFont="1" applyBorder="1"/>
    <xf numFmtId="0" fontId="10" fillId="0" borderId="1" xfId="16" applyFont="1" applyBorder="1"/>
    <xf numFmtId="3" fontId="7" fillId="0" borderId="1" xfId="16" applyNumberFormat="1" applyFont="1" applyBorder="1"/>
    <xf numFmtId="0" fontId="9" fillId="3" borderId="1" xfId="16" applyFont="1" applyFill="1" applyBorder="1"/>
    <xf numFmtId="0" fontId="10" fillId="3" borderId="1" xfId="16" applyFont="1" applyFill="1" applyBorder="1"/>
    <xf numFmtId="0" fontId="9" fillId="0" borderId="1" xfId="16" applyFont="1" applyBorder="1"/>
    <xf numFmtId="3" fontId="6" fillId="0" borderId="0" xfId="16" applyNumberFormat="1" applyAlignment="1">
      <alignment vertical="center"/>
    </xf>
    <xf numFmtId="3" fontId="7" fillId="3" borderId="59" xfId="16" applyNumberFormat="1" applyFont="1" applyFill="1" applyBorder="1" applyAlignment="1">
      <alignment vertical="center"/>
    </xf>
    <xf numFmtId="3" fontId="7" fillId="3" borderId="58" xfId="16" applyNumberFormat="1" applyFont="1" applyFill="1" applyBorder="1" applyAlignment="1">
      <alignment vertical="center"/>
    </xf>
    <xf numFmtId="3" fontId="7" fillId="3" borderId="45" xfId="16" applyNumberFormat="1" applyFont="1" applyFill="1" applyBorder="1" applyAlignment="1">
      <alignment vertical="center"/>
    </xf>
    <xf numFmtId="3" fontId="10" fillId="3" borderId="31" xfId="16" applyNumberFormat="1" applyFont="1" applyFill="1" applyBorder="1" applyAlignment="1">
      <alignment horizontal="center" vertical="center"/>
    </xf>
    <xf numFmtId="3" fontId="10" fillId="3" borderId="30" xfId="16" applyNumberFormat="1" applyFont="1" applyFill="1" applyBorder="1" applyAlignment="1">
      <alignment horizontal="center" vertical="center"/>
    </xf>
    <xf numFmtId="2" fontId="10" fillId="3" borderId="30" xfId="16" applyNumberFormat="1" applyFont="1" applyFill="1" applyBorder="1" applyAlignment="1">
      <alignment horizontal="center" vertical="center"/>
    </xf>
    <xf numFmtId="0" fontId="10" fillId="0" borderId="60" xfId="16" applyFont="1" applyBorder="1" applyAlignment="1">
      <alignment vertical="center"/>
    </xf>
    <xf numFmtId="0" fontId="10" fillId="0" borderId="28" xfId="16" applyFont="1" applyBorder="1" applyAlignment="1">
      <alignment vertical="center"/>
    </xf>
    <xf numFmtId="0" fontId="7" fillId="0" borderId="0" xfId="16" applyFont="1" applyAlignment="1">
      <alignment vertical="center"/>
    </xf>
    <xf numFmtId="3" fontId="7" fillId="0" borderId="61" xfId="16" applyNumberFormat="1" applyFont="1" applyBorder="1" applyAlignment="1">
      <alignment vertical="center"/>
    </xf>
    <xf numFmtId="3" fontId="7" fillId="0" borderId="57" xfId="16" applyNumberFormat="1" applyFont="1" applyBorder="1" applyAlignment="1">
      <alignment vertical="center"/>
    </xf>
    <xf numFmtId="3" fontId="7" fillId="0" borderId="62" xfId="16" applyNumberFormat="1" applyFont="1" applyBorder="1" applyAlignment="1">
      <alignment vertical="center"/>
    </xf>
    <xf numFmtId="0" fontId="7" fillId="0" borderId="0" xfId="16" applyFont="1" applyAlignment="1">
      <alignment horizontal="center" vertical="center" wrapText="1"/>
    </xf>
    <xf numFmtId="3" fontId="10" fillId="0" borderId="32" xfId="16" applyNumberFormat="1" applyFont="1" applyBorder="1" applyAlignment="1">
      <alignment horizontal="right" vertical="center"/>
    </xf>
    <xf numFmtId="3" fontId="10" fillId="0" borderId="3" xfId="16" applyNumberFormat="1" applyFont="1" applyBorder="1" applyAlignment="1">
      <alignment horizontal="right" vertical="center"/>
    </xf>
    <xf numFmtId="2" fontId="10" fillId="0" borderId="3" xfId="16" applyNumberFormat="1" applyFont="1" applyBorder="1" applyAlignment="1">
      <alignment horizontal="center" vertical="center"/>
    </xf>
    <xf numFmtId="0" fontId="10" fillId="0" borderId="3" xfId="16" applyFont="1" applyBorder="1" applyAlignment="1">
      <alignment vertical="center"/>
    </xf>
    <xf numFmtId="0" fontId="10" fillId="0" borderId="26" xfId="16" applyFont="1" applyBorder="1" applyAlignment="1">
      <alignment vertical="center"/>
    </xf>
    <xf numFmtId="3" fontId="7" fillId="3" borderId="63" xfId="16" applyNumberFormat="1" applyFont="1" applyFill="1" applyBorder="1" applyAlignment="1">
      <alignment horizontal="center" vertical="center" wrapText="1"/>
    </xf>
    <xf numFmtId="3" fontId="7" fillId="3" borderId="2" xfId="16" applyNumberFormat="1" applyFont="1" applyFill="1" applyBorder="1" applyAlignment="1">
      <alignment horizontal="center" vertical="center" wrapText="1"/>
    </xf>
    <xf numFmtId="3" fontId="7" fillId="3" borderId="64" xfId="16" applyNumberFormat="1" applyFont="1" applyFill="1" applyBorder="1" applyAlignment="1">
      <alignment horizontal="center" vertical="center" wrapText="1"/>
    </xf>
    <xf numFmtId="3" fontId="10" fillId="3" borderId="63" xfId="16" applyNumberFormat="1" applyFont="1" applyFill="1" applyBorder="1" applyAlignment="1">
      <alignment horizontal="center" vertical="center" wrapText="1"/>
    </xf>
    <xf numFmtId="3" fontId="10" fillId="3" borderId="2" xfId="16" applyNumberFormat="1" applyFont="1" applyFill="1" applyBorder="1" applyAlignment="1">
      <alignment horizontal="center" vertical="center" wrapText="1"/>
    </xf>
    <xf numFmtId="2" fontId="10" fillId="3" borderId="2" xfId="16" applyNumberFormat="1" applyFont="1" applyFill="1" applyBorder="1" applyAlignment="1">
      <alignment horizontal="center" vertical="center" wrapText="1"/>
    </xf>
    <xf numFmtId="0" fontId="10" fillId="0" borderId="2" xfId="16" applyFont="1" applyBorder="1" applyAlignment="1">
      <alignment vertical="center"/>
    </xf>
    <xf numFmtId="0" fontId="10" fillId="0" borderId="64" xfId="16" applyFont="1" applyBorder="1" applyAlignment="1">
      <alignment vertical="center"/>
    </xf>
    <xf numFmtId="3" fontId="7" fillId="0" borderId="9" xfId="16" applyNumberFormat="1" applyFont="1" applyBorder="1" applyAlignment="1">
      <alignment vertical="center" wrapText="1"/>
    </xf>
    <xf numFmtId="3" fontId="7" fillId="0" borderId="1" xfId="16" applyNumberFormat="1" applyFont="1" applyBorder="1" applyAlignment="1">
      <alignment vertical="center" wrapText="1"/>
    </xf>
    <xf numFmtId="3" fontId="7" fillId="0" borderId="8" xfId="16" applyNumberFormat="1" applyFont="1" applyBorder="1" applyAlignment="1">
      <alignment vertical="center" wrapText="1"/>
    </xf>
    <xf numFmtId="3" fontId="10" fillId="0" borderId="9" xfId="16" applyNumberFormat="1" applyFont="1" applyBorder="1" applyAlignment="1">
      <alignment horizontal="right" vertical="center"/>
    </xf>
    <xf numFmtId="3" fontId="10" fillId="0" borderId="1" xfId="16" applyNumberFormat="1" applyFont="1" applyBorder="1" applyAlignment="1">
      <alignment horizontal="right" vertical="center"/>
    </xf>
    <xf numFmtId="2" fontId="10" fillId="0" borderId="1" xfId="16" applyNumberFormat="1" applyFont="1" applyBorder="1" applyAlignment="1">
      <alignment horizontal="center" vertical="center"/>
    </xf>
    <xf numFmtId="0" fontId="10" fillId="0" borderId="1" xfId="16" applyFont="1" applyBorder="1" applyAlignment="1">
      <alignment vertical="center"/>
    </xf>
    <xf numFmtId="0" fontId="10" fillId="0" borderId="8" xfId="16" applyFont="1" applyBorder="1" applyAlignment="1">
      <alignment vertical="center"/>
    </xf>
    <xf numFmtId="0" fontId="10" fillId="0" borderId="1" xfId="16" applyFont="1" applyBorder="1" applyAlignment="1">
      <alignment horizontal="center" vertical="center"/>
    </xf>
    <xf numFmtId="3" fontId="7" fillId="3" borderId="9" xfId="16" applyNumberFormat="1" applyFont="1" applyFill="1" applyBorder="1" applyAlignment="1">
      <alignment vertical="center" wrapText="1"/>
    </xf>
    <xf numFmtId="3" fontId="7" fillId="3" borderId="1" xfId="16" applyNumberFormat="1" applyFont="1" applyFill="1" applyBorder="1" applyAlignment="1">
      <alignment vertical="center" wrapText="1"/>
    </xf>
    <xf numFmtId="3" fontId="7" fillId="3" borderId="8" xfId="16" applyNumberFormat="1" applyFont="1" applyFill="1" applyBorder="1" applyAlignment="1">
      <alignment vertical="center" wrapText="1"/>
    </xf>
    <xf numFmtId="3" fontId="10" fillId="3" borderId="9" xfId="16" applyNumberFormat="1" applyFont="1" applyFill="1" applyBorder="1" applyAlignment="1">
      <alignment horizontal="center" vertical="center" wrapText="1"/>
    </xf>
    <xf numFmtId="3" fontId="10" fillId="3" borderId="1" xfId="16" applyNumberFormat="1" applyFont="1" applyFill="1" applyBorder="1" applyAlignment="1">
      <alignment horizontal="center" vertical="center" wrapText="1"/>
    </xf>
    <xf numFmtId="2" fontId="10" fillId="3" borderId="1" xfId="16" applyNumberFormat="1" applyFont="1" applyFill="1" applyBorder="1" applyAlignment="1">
      <alignment horizontal="center" vertical="center" wrapText="1"/>
    </xf>
    <xf numFmtId="0" fontId="7" fillId="0" borderId="0" xfId="16" applyFont="1" applyAlignment="1">
      <alignment vertical="center" wrapText="1"/>
    </xf>
    <xf numFmtId="3" fontId="10" fillId="3" borderId="9" xfId="16" applyNumberFormat="1" applyFont="1" applyFill="1" applyBorder="1" applyAlignment="1">
      <alignment vertical="center"/>
    </xf>
    <xf numFmtId="3" fontId="10" fillId="3" borderId="1" xfId="16" applyNumberFormat="1" applyFont="1" applyFill="1" applyBorder="1" applyAlignment="1">
      <alignment vertical="center"/>
    </xf>
    <xf numFmtId="0" fontId="10" fillId="3" borderId="1" xfId="16" applyFont="1" applyFill="1" applyBorder="1" applyAlignment="1">
      <alignment vertical="center"/>
    </xf>
    <xf numFmtId="3" fontId="7" fillId="0" borderId="25" xfId="16" applyNumberFormat="1" applyFont="1" applyBorder="1" applyAlignment="1">
      <alignment vertical="center" wrapText="1"/>
    </xf>
    <xf numFmtId="3" fontId="7" fillId="0" borderId="24" xfId="16" applyNumberFormat="1" applyFont="1" applyBorder="1" applyAlignment="1">
      <alignment vertical="center" wrapText="1"/>
    </xf>
    <xf numFmtId="3" fontId="7" fillId="0" borderId="65" xfId="16" applyNumberFormat="1" applyFont="1" applyBorder="1" applyAlignment="1">
      <alignment vertical="center" wrapText="1"/>
    </xf>
    <xf numFmtId="3" fontId="10" fillId="0" borderId="25" xfId="16" applyNumberFormat="1" applyFont="1" applyBorder="1" applyAlignment="1">
      <alignment horizontal="right" vertical="center"/>
    </xf>
    <xf numFmtId="3" fontId="10" fillId="0" borderId="24" xfId="16" applyNumberFormat="1" applyFont="1" applyBorder="1" applyAlignment="1">
      <alignment horizontal="right" vertical="center"/>
    </xf>
    <xf numFmtId="2" fontId="10" fillId="0" borderId="24" xfId="16" applyNumberFormat="1" applyFont="1" applyBorder="1" applyAlignment="1">
      <alignment horizontal="center" vertical="center"/>
    </xf>
    <xf numFmtId="0" fontId="10" fillId="0" borderId="24" xfId="16" applyFont="1" applyBorder="1" applyAlignment="1">
      <alignment vertical="center"/>
    </xf>
    <xf numFmtId="0" fontId="10" fillId="0" borderId="65" xfId="16" applyFont="1" applyBorder="1" applyAlignment="1">
      <alignment vertical="center"/>
    </xf>
    <xf numFmtId="0" fontId="7" fillId="15" borderId="30" xfId="16" applyFont="1" applyFill="1" applyBorder="1" applyAlignment="1">
      <alignment horizontal="center" vertical="center" wrapText="1"/>
    </xf>
    <xf numFmtId="0" fontId="7" fillId="15" borderId="28" xfId="16" applyFont="1" applyFill="1" applyBorder="1" applyAlignment="1">
      <alignment horizontal="center" vertical="center" wrapText="1"/>
    </xf>
    <xf numFmtId="3" fontId="10" fillId="15" borderId="30" xfId="16" applyNumberFormat="1" applyFont="1" applyFill="1" applyBorder="1" applyAlignment="1">
      <alignment horizontal="left" vertical="center" wrapText="1"/>
    </xf>
    <xf numFmtId="0" fontId="10" fillId="15" borderId="28" xfId="16" applyFont="1" applyFill="1" applyBorder="1" applyAlignment="1">
      <alignment horizontal="center" vertical="center" wrapText="1"/>
    </xf>
    <xf numFmtId="0" fontId="7" fillId="15" borderId="1" xfId="16" applyFont="1" applyFill="1" applyBorder="1" applyAlignment="1">
      <alignment horizontal="center" vertical="center" wrapText="1"/>
    </xf>
    <xf numFmtId="0" fontId="7" fillId="15" borderId="8" xfId="16" applyFont="1" applyFill="1" applyBorder="1" applyAlignment="1">
      <alignment horizontal="center" vertical="center"/>
    </xf>
    <xf numFmtId="0" fontId="10" fillId="15" borderId="1" xfId="16" applyFont="1" applyFill="1" applyBorder="1" applyAlignment="1">
      <alignment horizontal="left" vertical="center" wrapText="1"/>
    </xf>
    <xf numFmtId="0" fontId="10" fillId="3" borderId="24" xfId="16" applyFont="1" applyFill="1" applyBorder="1" applyAlignment="1">
      <alignment horizontal="center" vertical="center"/>
    </xf>
    <xf numFmtId="0" fontId="10" fillId="3" borderId="23" xfId="16" applyFont="1" applyFill="1" applyBorder="1" applyAlignment="1">
      <alignment horizontal="center" vertical="center"/>
    </xf>
    <xf numFmtId="0" fontId="10" fillId="3" borderId="65" xfId="16" applyFont="1" applyFill="1" applyBorder="1" applyAlignment="1">
      <alignment horizontal="center" vertical="center"/>
    </xf>
    <xf numFmtId="0" fontId="10" fillId="15" borderId="24" xfId="16" applyFont="1" applyFill="1" applyBorder="1" applyAlignment="1">
      <alignment horizontal="left" vertical="center" wrapText="1"/>
    </xf>
    <xf numFmtId="3" fontId="7" fillId="0" borderId="0" xfId="16" applyNumberFormat="1" applyFont="1" applyAlignment="1">
      <alignment vertical="center"/>
    </xf>
    <xf numFmtId="3" fontId="7" fillId="0" borderId="31" xfId="16" applyNumberFormat="1" applyFont="1" applyBorder="1" applyAlignment="1">
      <alignment vertical="center"/>
    </xf>
    <xf numFmtId="3" fontId="7" fillId="0" borderId="30" xfId="16" applyNumberFormat="1" applyFont="1" applyBorder="1" applyAlignment="1">
      <alignment vertical="center"/>
    </xf>
    <xf numFmtId="3" fontId="7" fillId="0" borderId="28" xfId="16" applyNumberFormat="1" applyFont="1" applyBorder="1" applyAlignment="1">
      <alignment vertical="center"/>
    </xf>
    <xf numFmtId="3" fontId="10" fillId="0" borderId="59" xfId="16" applyNumberFormat="1" applyFont="1" applyBorder="1" applyAlignment="1">
      <alignment horizontal="right" vertical="center"/>
    </xf>
    <xf numFmtId="3" fontId="10" fillId="0" borderId="58" xfId="16" applyNumberFormat="1" applyFont="1" applyBorder="1" applyAlignment="1">
      <alignment horizontal="right" vertical="center"/>
    </xf>
    <xf numFmtId="3" fontId="10" fillId="0" borderId="58" xfId="16" applyNumberFormat="1" applyFont="1" applyBorder="1" applyAlignment="1">
      <alignment horizontal="center" vertical="center"/>
    </xf>
    <xf numFmtId="0" fontId="10" fillId="0" borderId="58" xfId="16" applyFont="1" applyBorder="1" applyAlignment="1">
      <alignment vertical="center"/>
    </xf>
    <xf numFmtId="0" fontId="10" fillId="0" borderId="45" xfId="16" applyFont="1" applyBorder="1" applyAlignment="1">
      <alignment vertical="center"/>
    </xf>
    <xf numFmtId="3" fontId="10" fillId="3" borderId="32" xfId="16" applyNumberFormat="1" applyFont="1" applyFill="1" applyBorder="1" applyAlignment="1">
      <alignment horizontal="center" vertical="center"/>
    </xf>
    <xf numFmtId="3" fontId="10" fillId="3" borderId="3" xfId="16" applyNumberFormat="1" applyFont="1" applyFill="1" applyBorder="1" applyAlignment="1">
      <alignment horizontal="center" vertical="center"/>
    </xf>
    <xf numFmtId="3" fontId="10" fillId="3" borderId="26" xfId="16" applyNumberFormat="1" applyFont="1" applyFill="1" applyBorder="1" applyAlignment="1">
      <alignment horizontal="center" vertical="center"/>
    </xf>
    <xf numFmtId="3" fontId="7" fillId="0" borderId="0" xfId="16" applyNumberFormat="1" applyFont="1" applyAlignment="1">
      <alignment horizontal="center" vertical="center" wrapText="1"/>
    </xf>
    <xf numFmtId="2" fontId="10" fillId="3" borderId="3" xfId="16" applyNumberFormat="1" applyFont="1" applyFill="1" applyBorder="1" applyAlignment="1">
      <alignment horizontal="center" vertical="center"/>
    </xf>
    <xf numFmtId="3" fontId="7" fillId="0" borderId="63" xfId="16" applyNumberFormat="1" applyFont="1" applyBorder="1" applyAlignment="1">
      <alignment horizontal="right" vertical="center" wrapText="1"/>
    </xf>
    <xf numFmtId="3" fontId="7" fillId="0" borderId="2" xfId="16" applyNumberFormat="1" applyFont="1" applyBorder="1" applyAlignment="1">
      <alignment horizontal="right" vertical="center" wrapText="1"/>
    </xf>
    <xf numFmtId="3" fontId="7" fillId="0" borderId="64" xfId="16" applyNumberFormat="1" applyFont="1" applyBorder="1" applyAlignment="1">
      <alignment horizontal="right" vertical="center" wrapText="1"/>
    </xf>
    <xf numFmtId="3" fontId="10" fillId="0" borderId="63" xfId="16" applyNumberFormat="1" applyFont="1" applyBorder="1" applyAlignment="1">
      <alignment horizontal="right" vertical="center"/>
    </xf>
    <xf numFmtId="3" fontId="10" fillId="0" borderId="2" xfId="16" applyNumberFormat="1" applyFont="1" applyBorder="1" applyAlignment="1">
      <alignment horizontal="right" vertical="center"/>
    </xf>
    <xf numFmtId="2" fontId="10" fillId="0" borderId="2" xfId="16" applyNumberFormat="1" applyFont="1" applyBorder="1" applyAlignment="1">
      <alignment horizontal="center" vertical="center" wrapText="1"/>
    </xf>
    <xf numFmtId="3" fontId="10" fillId="3" borderId="9" xfId="16" applyNumberFormat="1" applyFont="1" applyFill="1" applyBorder="1" applyAlignment="1">
      <alignment horizontal="right" vertical="center"/>
    </xf>
    <xf numFmtId="3" fontId="10" fillId="3" borderId="1" xfId="16" applyNumberFormat="1" applyFont="1" applyFill="1" applyBorder="1" applyAlignment="1">
      <alignment horizontal="right" vertical="center"/>
    </xf>
    <xf numFmtId="0" fontId="10" fillId="3" borderId="9" xfId="16" applyFont="1" applyFill="1" applyBorder="1" applyAlignment="1">
      <alignment horizontal="right" vertical="center"/>
    </xf>
    <xf numFmtId="0" fontId="10" fillId="3" borderId="1" xfId="16" applyFont="1" applyFill="1" applyBorder="1" applyAlignment="1">
      <alignment horizontal="right" vertical="center"/>
    </xf>
    <xf numFmtId="0" fontId="10" fillId="3" borderId="8" xfId="16" applyFont="1" applyFill="1" applyBorder="1" applyAlignment="1">
      <alignment horizontal="right" vertical="center"/>
    </xf>
    <xf numFmtId="3" fontId="7" fillId="3" borderId="9" xfId="16" applyNumberFormat="1" applyFont="1" applyFill="1" applyBorder="1" applyAlignment="1">
      <alignment vertical="center"/>
    </xf>
    <xf numFmtId="0" fontId="7" fillId="3" borderId="1" xfId="16" applyFont="1" applyFill="1" applyBorder="1" applyAlignment="1">
      <alignment vertical="center"/>
    </xf>
    <xf numFmtId="3" fontId="7" fillId="3" borderId="25" xfId="16" applyNumberFormat="1" applyFont="1" applyFill="1" applyBorder="1" applyAlignment="1">
      <alignment horizontal="center" vertical="center" wrapText="1"/>
    </xf>
    <xf numFmtId="3" fontId="7" fillId="3" borderId="24" xfId="16" applyNumberFormat="1" applyFont="1" applyFill="1" applyBorder="1" applyAlignment="1">
      <alignment horizontal="center" vertical="center" wrapText="1"/>
    </xf>
    <xf numFmtId="3" fontId="7" fillId="3" borderId="65" xfId="16" applyNumberFormat="1" applyFont="1" applyFill="1" applyBorder="1" applyAlignment="1">
      <alignment horizontal="center" vertical="center" wrapText="1"/>
    </xf>
    <xf numFmtId="3" fontId="7" fillId="3" borderId="25" xfId="16" applyNumberFormat="1" applyFont="1" applyFill="1" applyBorder="1" applyAlignment="1">
      <alignment vertical="center"/>
    </xf>
    <xf numFmtId="0" fontId="7" fillId="3" borderId="24" xfId="16" applyFont="1" applyFill="1" applyBorder="1" applyAlignment="1">
      <alignment vertical="center"/>
    </xf>
    <xf numFmtId="0" fontId="7" fillId="15" borderId="29" xfId="16" applyFont="1" applyFill="1" applyBorder="1" applyAlignment="1">
      <alignment horizontal="center" vertical="center" wrapText="1"/>
    </xf>
    <xf numFmtId="0" fontId="7" fillId="15" borderId="7" xfId="16" applyFont="1" applyFill="1" applyBorder="1" applyAlignment="1">
      <alignment horizontal="center" vertical="center" wrapText="1"/>
    </xf>
    <xf numFmtId="0" fontId="7" fillId="0" borderId="16" xfId="16" applyFont="1" applyBorder="1" applyAlignment="1">
      <alignment vertical="center" wrapText="1"/>
    </xf>
    <xf numFmtId="3" fontId="10" fillId="3" borderId="59" xfId="16" applyNumberFormat="1" applyFont="1" applyFill="1" applyBorder="1" applyAlignment="1">
      <alignment horizontal="right" vertical="center"/>
    </xf>
    <xf numFmtId="3" fontId="10" fillId="3" borderId="58" xfId="16" applyNumberFormat="1" applyFont="1" applyFill="1" applyBorder="1" applyAlignment="1">
      <alignment horizontal="right" vertical="center"/>
    </xf>
    <xf numFmtId="2" fontId="10" fillId="3" borderId="58" xfId="16" applyNumberFormat="1" applyFont="1" applyFill="1" applyBorder="1" applyAlignment="1">
      <alignment horizontal="center" vertical="center"/>
    </xf>
    <xf numFmtId="3" fontId="10" fillId="3" borderId="63" xfId="16" applyNumberFormat="1" applyFont="1" applyFill="1" applyBorder="1" applyAlignment="1">
      <alignment horizontal="right" vertical="center"/>
    </xf>
    <xf numFmtId="3" fontId="10" fillId="3" borderId="2" xfId="16" applyNumberFormat="1" applyFont="1" applyFill="1" applyBorder="1" applyAlignment="1">
      <alignment horizontal="right" vertical="center"/>
    </xf>
    <xf numFmtId="2" fontId="10" fillId="0" borderId="1" xfId="16" applyNumberFormat="1" applyFont="1" applyBorder="1" applyAlignment="1">
      <alignment horizontal="center" vertical="center" wrapText="1"/>
    </xf>
    <xf numFmtId="0" fontId="7" fillId="3" borderId="1" xfId="16" applyFont="1" applyFill="1" applyBorder="1" applyAlignment="1">
      <alignment horizontal="center" vertical="center"/>
    </xf>
    <xf numFmtId="3" fontId="7" fillId="0" borderId="25" xfId="16" applyNumberFormat="1" applyFont="1" applyBorder="1" applyAlignment="1">
      <alignment horizontal="center" vertical="center" wrapText="1"/>
    </xf>
    <xf numFmtId="3" fontId="7" fillId="0" borderId="24" xfId="16" applyNumberFormat="1" applyFont="1" applyBorder="1" applyAlignment="1">
      <alignment horizontal="center" vertical="center" wrapText="1"/>
    </xf>
    <xf numFmtId="3" fontId="7" fillId="0" borderId="65" xfId="16" applyNumberFormat="1" applyFont="1" applyBorder="1" applyAlignment="1">
      <alignment horizontal="center" vertical="center" wrapText="1"/>
    </xf>
    <xf numFmtId="3" fontId="7" fillId="2" borderId="30" xfId="16" applyNumberFormat="1" applyFont="1" applyFill="1" applyBorder="1"/>
    <xf numFmtId="3" fontId="7" fillId="0" borderId="0" xfId="16" applyNumberFormat="1" applyFont="1"/>
    <xf numFmtId="0" fontId="7" fillId="3" borderId="1" xfId="16" applyFont="1" applyFill="1" applyBorder="1"/>
    <xf numFmtId="0" fontId="10" fillId="9" borderId="1" xfId="16" applyFont="1" applyFill="1" applyBorder="1"/>
    <xf numFmtId="0" fontId="7" fillId="9" borderId="1" xfId="16" applyFont="1" applyFill="1" applyBorder="1"/>
    <xf numFmtId="3" fontId="10" fillId="0" borderId="0" xfId="16" applyNumberFormat="1" applyFont="1" applyAlignment="1">
      <alignment horizontal="left"/>
    </xf>
    <xf numFmtId="3" fontId="7" fillId="0" borderId="21" xfId="16" applyNumberFormat="1" applyFont="1" applyBorder="1" applyAlignment="1">
      <alignment horizontal="center" vertical="center" wrapText="1"/>
    </xf>
    <xf numFmtId="3" fontId="7" fillId="0" borderId="70" xfId="16" applyNumberFormat="1" applyFont="1" applyBorder="1" applyAlignment="1">
      <alignment horizontal="center" vertical="center" wrapText="1"/>
    </xf>
    <xf numFmtId="3" fontId="7" fillId="0" borderId="11" xfId="16" applyNumberFormat="1" applyFont="1" applyBorder="1" applyAlignment="1">
      <alignment horizontal="center" vertical="center" wrapText="1"/>
    </xf>
    <xf numFmtId="0" fontId="7" fillId="3" borderId="35" xfId="16" applyFont="1" applyFill="1" applyBorder="1" applyAlignment="1">
      <alignment horizontal="center" vertical="center"/>
    </xf>
    <xf numFmtId="3" fontId="7" fillId="0" borderId="62" xfId="16" applyNumberFormat="1" applyFont="1" applyBorder="1" applyAlignment="1">
      <alignment vertical="center" wrapText="1"/>
    </xf>
    <xf numFmtId="3" fontId="7" fillId="0" borderId="57" xfId="16" applyNumberFormat="1" applyFont="1" applyBorder="1" applyAlignment="1">
      <alignment vertical="center" wrapText="1"/>
    </xf>
    <xf numFmtId="3" fontId="7" fillId="0" borderId="61" xfId="16" applyNumberFormat="1" applyFont="1" applyBorder="1" applyAlignment="1">
      <alignment vertical="center" wrapText="1"/>
    </xf>
    <xf numFmtId="3" fontId="7" fillId="0" borderId="26" xfId="16" applyNumberFormat="1" applyFont="1" applyBorder="1" applyAlignment="1">
      <alignment vertical="center" wrapText="1"/>
    </xf>
    <xf numFmtId="3" fontId="7" fillId="0" borderId="3" xfId="16" applyNumberFormat="1" applyFont="1" applyBorder="1" applyAlignment="1">
      <alignment vertical="center" wrapText="1"/>
    </xf>
    <xf numFmtId="3" fontId="7" fillId="0" borderId="32" xfId="16" applyNumberFormat="1" applyFont="1" applyBorder="1" applyAlignment="1">
      <alignment vertical="center" wrapText="1"/>
    </xf>
    <xf numFmtId="3" fontId="7" fillId="3" borderId="71" xfId="16" applyNumberFormat="1" applyFont="1" applyFill="1" applyBorder="1" applyAlignment="1">
      <alignment horizontal="center" vertical="center" wrapText="1"/>
    </xf>
    <xf numFmtId="3" fontId="7" fillId="3" borderId="72" xfId="16" applyNumberFormat="1" applyFont="1" applyFill="1" applyBorder="1" applyAlignment="1">
      <alignment horizontal="center" vertical="center" wrapText="1"/>
    </xf>
    <xf numFmtId="3" fontId="10" fillId="3" borderId="30" xfId="16" applyNumberFormat="1" applyFont="1" applyFill="1" applyBorder="1" applyAlignment="1">
      <alignment horizontal="right" vertical="center"/>
    </xf>
    <xf numFmtId="3" fontId="10" fillId="3" borderId="31" xfId="16" applyNumberFormat="1" applyFont="1" applyFill="1" applyBorder="1" applyAlignment="1">
      <alignment horizontal="right" vertical="center"/>
    </xf>
    <xf numFmtId="3" fontId="7" fillId="3" borderId="21" xfId="16" applyNumberFormat="1" applyFont="1" applyFill="1" applyBorder="1" applyAlignment="1">
      <alignment horizontal="center" vertical="center" wrapText="1"/>
    </xf>
    <xf numFmtId="3" fontId="7" fillId="3" borderId="70" xfId="16" applyNumberFormat="1" applyFont="1" applyFill="1" applyBorder="1" applyAlignment="1">
      <alignment horizontal="center" vertical="center" wrapText="1"/>
    </xf>
    <xf numFmtId="3" fontId="7" fillId="3" borderId="11" xfId="16" applyNumberFormat="1" applyFont="1" applyFill="1" applyBorder="1" applyAlignment="1">
      <alignment horizontal="center" vertical="center" wrapText="1"/>
    </xf>
    <xf numFmtId="3" fontId="7" fillId="0" borderId="38" xfId="16" applyNumberFormat="1" applyFont="1" applyBorder="1" applyAlignment="1">
      <alignment vertical="center" wrapText="1"/>
    </xf>
    <xf numFmtId="3" fontId="7" fillId="0" borderId="14" xfId="16" applyNumberFormat="1" applyFont="1" applyBorder="1" applyAlignment="1">
      <alignment vertical="center" wrapText="1"/>
    </xf>
    <xf numFmtId="3" fontId="7" fillId="3" borderId="62" xfId="16" applyNumberFormat="1" applyFont="1" applyFill="1" applyBorder="1" applyAlignment="1">
      <alignment vertical="center" wrapText="1"/>
    </xf>
    <xf numFmtId="3" fontId="7" fillId="3" borderId="38" xfId="16" applyNumberFormat="1" applyFont="1" applyFill="1" applyBorder="1" applyAlignment="1">
      <alignment vertical="center" wrapText="1"/>
    </xf>
    <xf numFmtId="3" fontId="7" fillId="3" borderId="14" xfId="16" applyNumberFormat="1" applyFont="1" applyFill="1" applyBorder="1" applyAlignment="1">
      <alignment vertical="center" wrapText="1"/>
    </xf>
    <xf numFmtId="2" fontId="10" fillId="0" borderId="30" xfId="16" applyNumberFormat="1" applyFont="1" applyBorder="1" applyAlignment="1">
      <alignment horizontal="center" vertical="center"/>
    </xf>
    <xf numFmtId="3" fontId="10" fillId="0" borderId="30" xfId="16" applyNumberFormat="1" applyFont="1" applyBorder="1" applyAlignment="1">
      <alignment horizontal="right" vertical="center"/>
    </xf>
    <xf numFmtId="3" fontId="10" fillId="0" borderId="31" xfId="16" applyNumberFormat="1" applyFont="1" applyBorder="1" applyAlignment="1">
      <alignment horizontal="right" vertical="center"/>
    </xf>
    <xf numFmtId="3" fontId="7" fillId="0" borderId="33" xfId="16" applyNumberFormat="1" applyFont="1" applyBorder="1" applyAlignment="1">
      <alignment vertical="center" wrapText="1"/>
    </xf>
    <xf numFmtId="3" fontId="7" fillId="0" borderId="73" xfId="16" applyNumberFormat="1" applyFont="1" applyBorder="1" applyAlignment="1">
      <alignment vertical="center" wrapText="1"/>
    </xf>
    <xf numFmtId="0" fontId="10" fillId="0" borderId="74" xfId="16" applyFont="1" applyBorder="1" applyAlignment="1">
      <alignment vertical="center"/>
    </xf>
    <xf numFmtId="0" fontId="10" fillId="0" borderId="75" xfId="16" applyFont="1" applyBorder="1" applyAlignment="1">
      <alignment vertical="center"/>
    </xf>
    <xf numFmtId="3" fontId="7" fillId="0" borderId="71" xfId="16" applyNumberFormat="1" applyFont="1" applyBorder="1" applyAlignment="1">
      <alignment horizontal="right" vertical="center" wrapText="1"/>
    </xf>
    <xf numFmtId="3" fontId="7" fillId="0" borderId="72" xfId="16" applyNumberFormat="1" applyFont="1" applyBorder="1" applyAlignment="1">
      <alignment horizontal="right" vertical="center" wrapText="1"/>
    </xf>
    <xf numFmtId="0" fontId="10" fillId="0" borderId="40" xfId="16" applyFont="1" applyBorder="1" applyAlignment="1">
      <alignment vertical="center"/>
    </xf>
    <xf numFmtId="3" fontId="10" fillId="0" borderId="30" xfId="16" applyNumberFormat="1" applyFont="1" applyBorder="1" applyAlignment="1">
      <alignment horizontal="center" vertical="center"/>
    </xf>
    <xf numFmtId="4" fontId="10" fillId="0" borderId="1" xfId="16" applyNumberFormat="1" applyFont="1" applyBorder="1" applyAlignment="1">
      <alignment horizontal="center" vertical="center"/>
    </xf>
    <xf numFmtId="3" fontId="10" fillId="0" borderId="9" xfId="16" applyNumberFormat="1" applyFont="1" applyBorder="1" applyAlignment="1">
      <alignment vertical="center"/>
    </xf>
    <xf numFmtId="3" fontId="7" fillId="0" borderId="8" xfId="16" applyNumberFormat="1" applyFont="1" applyBorder="1" applyAlignment="1">
      <alignment horizontal="right" vertical="center"/>
    </xf>
    <xf numFmtId="3" fontId="7" fillId="0" borderId="1" xfId="16" applyNumberFormat="1" applyFont="1" applyBorder="1" applyAlignment="1">
      <alignment horizontal="right" vertical="center"/>
    </xf>
    <xf numFmtId="3" fontId="7" fillId="0" borderId="9" xfId="16" applyNumberFormat="1" applyFont="1" applyBorder="1" applyAlignment="1">
      <alignment horizontal="right" vertical="center"/>
    </xf>
    <xf numFmtId="0" fontId="10" fillId="0" borderId="76" xfId="16" applyFont="1" applyBorder="1" applyAlignment="1">
      <alignment vertical="center"/>
    </xf>
    <xf numFmtId="2" fontId="10" fillId="3" borderId="76" xfId="16" applyNumberFormat="1" applyFont="1" applyFill="1" applyBorder="1" applyAlignment="1">
      <alignment horizontal="center" vertical="center"/>
    </xf>
    <xf numFmtId="3" fontId="10" fillId="3" borderId="77" xfId="16" applyNumberFormat="1" applyFont="1" applyFill="1" applyBorder="1" applyAlignment="1">
      <alignment horizontal="center" vertical="center"/>
    </xf>
    <xf numFmtId="3" fontId="10" fillId="3" borderId="74" xfId="16" applyNumberFormat="1" applyFont="1" applyFill="1" applyBorder="1" applyAlignment="1">
      <alignment horizontal="center" vertical="center"/>
    </xf>
    <xf numFmtId="3" fontId="10" fillId="3" borderId="76" xfId="16" applyNumberFormat="1" applyFont="1" applyFill="1" applyBorder="1" applyAlignment="1">
      <alignment horizontal="center" vertical="center"/>
    </xf>
    <xf numFmtId="1" fontId="10" fillId="0" borderId="3" xfId="16" applyNumberFormat="1" applyFont="1" applyBorder="1" applyAlignment="1">
      <alignment horizontal="center" vertical="center"/>
    </xf>
    <xf numFmtId="3" fontId="7" fillId="0" borderId="26" xfId="16" applyNumberFormat="1" applyFont="1" applyBorder="1" applyAlignment="1">
      <alignment horizontal="right" vertical="center"/>
    </xf>
    <xf numFmtId="3" fontId="7" fillId="0" borderId="3" xfId="16" applyNumberFormat="1" applyFont="1" applyBorder="1" applyAlignment="1">
      <alignment horizontal="right" vertical="center"/>
    </xf>
    <xf numFmtId="3" fontId="7" fillId="0" borderId="32" xfId="16" applyNumberFormat="1" applyFont="1" applyBorder="1" applyAlignment="1">
      <alignment horizontal="right" vertical="center"/>
    </xf>
    <xf numFmtId="3" fontId="7" fillId="0" borderId="21" xfId="16" applyNumberFormat="1" applyFont="1" applyBorder="1" applyAlignment="1">
      <alignment vertical="center" wrapText="1"/>
    </xf>
    <xf numFmtId="3" fontId="7" fillId="0" borderId="70" xfId="16" applyNumberFormat="1" applyFont="1" applyBorder="1" applyAlignment="1">
      <alignment vertical="center" wrapText="1"/>
    </xf>
    <xf numFmtId="3" fontId="7" fillId="0" borderId="11" xfId="16" applyNumberFormat="1" applyFont="1" applyBorder="1" applyAlignment="1">
      <alignment vertical="center" wrapText="1"/>
    </xf>
    <xf numFmtId="3" fontId="10" fillId="3" borderId="8" xfId="16" applyNumberFormat="1" applyFont="1" applyFill="1" applyBorder="1" applyAlignment="1">
      <alignment horizontal="center" vertical="center" wrapText="1"/>
    </xf>
    <xf numFmtId="2" fontId="10" fillId="3" borderId="76" xfId="16" applyNumberFormat="1" applyFont="1" applyFill="1" applyBorder="1" applyAlignment="1">
      <alignment horizontal="center" vertical="center" wrapText="1"/>
    </xf>
    <xf numFmtId="3" fontId="10" fillId="3" borderId="76" xfId="16" applyNumberFormat="1" applyFont="1" applyFill="1" applyBorder="1" applyAlignment="1">
      <alignment horizontal="center" vertical="center" wrapText="1"/>
    </xf>
    <xf numFmtId="3" fontId="10" fillId="3" borderId="77" xfId="16" applyNumberFormat="1" applyFont="1" applyFill="1" applyBorder="1" applyAlignment="1">
      <alignment horizontal="center" vertical="center" wrapText="1"/>
    </xf>
    <xf numFmtId="2" fontId="10" fillId="3" borderId="24" xfId="16" applyNumberFormat="1" applyFont="1" applyFill="1" applyBorder="1" applyAlignment="1">
      <alignment horizontal="center" vertical="center"/>
    </xf>
    <xf numFmtId="2" fontId="10" fillId="3" borderId="25" xfId="16" applyNumberFormat="1" applyFont="1" applyFill="1" applyBorder="1" applyAlignment="1">
      <alignment horizontal="center" vertical="center"/>
    </xf>
    <xf numFmtId="3" fontId="7" fillId="3" borderId="65" xfId="16" applyNumberFormat="1" applyFont="1" applyFill="1" applyBorder="1" applyAlignment="1">
      <alignment vertical="center" wrapText="1"/>
    </xf>
    <xf numFmtId="3" fontId="7" fillId="3" borderId="23" xfId="16" applyNumberFormat="1" applyFont="1" applyFill="1" applyBorder="1" applyAlignment="1">
      <alignment vertical="center" wrapText="1"/>
    </xf>
    <xf numFmtId="3" fontId="7" fillId="3" borderId="22" xfId="16" applyNumberFormat="1" applyFont="1" applyFill="1" applyBorder="1" applyAlignment="1">
      <alignment vertical="center" wrapText="1"/>
    </xf>
    <xf numFmtId="3" fontId="10" fillId="0" borderId="1" xfId="16" applyNumberFormat="1" applyFont="1" applyBorder="1" applyAlignment="1">
      <alignment vertical="center"/>
    </xf>
    <xf numFmtId="3" fontId="10" fillId="0" borderId="1" xfId="16" applyNumberFormat="1" applyFont="1" applyBorder="1" applyAlignment="1">
      <alignment horizontal="right" vertical="center" wrapText="1"/>
    </xf>
    <xf numFmtId="3" fontId="10" fillId="0" borderId="9" xfId="16" applyNumberFormat="1" applyFont="1" applyBorder="1" applyAlignment="1">
      <alignment horizontal="right" vertical="center" wrapText="1"/>
    </xf>
    <xf numFmtId="3" fontId="10" fillId="3" borderId="76" xfId="16" applyNumberFormat="1" applyFont="1" applyFill="1" applyBorder="1" applyAlignment="1">
      <alignment horizontal="right" vertical="center"/>
    </xf>
    <xf numFmtId="3" fontId="10" fillId="3" borderId="77" xfId="16" applyNumberFormat="1" applyFont="1" applyFill="1" applyBorder="1" applyAlignment="1">
      <alignment vertical="center" wrapText="1"/>
    </xf>
    <xf numFmtId="3" fontId="6" fillId="0" borderId="0" xfId="16" applyNumberFormat="1" applyAlignment="1">
      <alignment horizontal="center" vertical="center" wrapText="1"/>
    </xf>
    <xf numFmtId="3" fontId="7" fillId="3" borderId="24" xfId="16" applyNumberFormat="1" applyFont="1" applyFill="1" applyBorder="1" applyAlignment="1">
      <alignment vertical="center" wrapText="1"/>
    </xf>
    <xf numFmtId="3" fontId="7" fillId="3" borderId="25" xfId="16" applyNumberFormat="1" applyFont="1" applyFill="1" applyBorder="1" applyAlignment="1">
      <alignment vertical="center" wrapText="1"/>
    </xf>
    <xf numFmtId="2" fontId="10" fillId="3" borderId="9" xfId="16" applyNumberFormat="1" applyFont="1" applyFill="1" applyBorder="1" applyAlignment="1">
      <alignment horizontal="center" vertical="center" wrapText="1"/>
    </xf>
    <xf numFmtId="3" fontId="10" fillId="0" borderId="63" xfId="16" applyNumberFormat="1" applyFont="1" applyBorder="1" applyAlignment="1">
      <alignment vertical="center" wrapText="1"/>
    </xf>
    <xf numFmtId="3" fontId="7" fillId="0" borderId="2" xfId="16" applyNumberFormat="1" applyFont="1" applyBorder="1" applyAlignment="1">
      <alignment horizontal="center" vertical="center" wrapText="1"/>
    </xf>
    <xf numFmtId="3" fontId="7" fillId="0" borderId="63" xfId="16" applyNumberFormat="1" applyFont="1" applyBorder="1" applyAlignment="1">
      <alignment horizontal="center" vertical="center" wrapText="1"/>
    </xf>
    <xf numFmtId="3" fontId="7" fillId="0" borderId="26" xfId="16" applyNumberFormat="1" applyFont="1" applyBorder="1" applyAlignment="1">
      <alignment vertical="center"/>
    </xf>
    <xf numFmtId="3" fontId="7" fillId="0" borderId="3" xfId="16" applyNumberFormat="1" applyFont="1" applyBorder="1" applyAlignment="1">
      <alignment vertical="center"/>
    </xf>
    <xf numFmtId="3" fontId="7" fillId="0" borderId="32" xfId="16" applyNumberFormat="1" applyFont="1" applyBorder="1" applyAlignment="1">
      <alignment vertical="center"/>
    </xf>
    <xf numFmtId="4" fontId="7" fillId="2" borderId="48" xfId="0" applyNumberFormat="1" applyFont="1" applyFill="1" applyBorder="1"/>
    <xf numFmtId="4" fontId="7" fillId="2" borderId="58" xfId="0" applyNumberFormat="1" applyFont="1" applyFill="1" applyBorder="1"/>
    <xf numFmtId="4" fontId="7" fillId="2" borderId="59" xfId="0" applyNumberFormat="1" applyFont="1" applyFill="1" applyBorder="1"/>
    <xf numFmtId="165" fontId="46" fillId="0" borderId="35" xfId="5" applyNumberFormat="1" applyFont="1" applyBorder="1" applyAlignment="1">
      <alignment horizontal="center"/>
    </xf>
    <xf numFmtId="165" fontId="44" fillId="0" borderId="18" xfId="5" applyNumberFormat="1" applyFont="1" applyBorder="1" applyAlignment="1">
      <alignment horizontal="center"/>
    </xf>
    <xf numFmtId="167" fontId="47" fillId="0" borderId="0" xfId="17" applyNumberFormat="1" applyFont="1" applyAlignment="1">
      <alignment horizontal="center"/>
    </xf>
    <xf numFmtId="0" fontId="54" fillId="11" borderId="22" xfId="8" applyFill="1" applyBorder="1"/>
    <xf numFmtId="0" fontId="4" fillId="0" borderId="13" xfId="9" applyBorder="1"/>
    <xf numFmtId="0" fontId="19" fillId="0" borderId="0" xfId="4"/>
    <xf numFmtId="0" fontId="19" fillId="16" borderId="0" xfId="4" applyFill="1"/>
    <xf numFmtId="0" fontId="77" fillId="0" borderId="56" xfId="4" applyFont="1" applyBorder="1" applyAlignment="1">
      <alignment vertical="center"/>
    </xf>
    <xf numFmtId="0" fontId="71" fillId="0" borderId="23" xfId="4" applyFont="1" applyBorder="1" applyAlignment="1">
      <alignment horizontal="center" vertical="center"/>
    </xf>
    <xf numFmtId="0" fontId="71" fillId="0" borderId="25" xfId="4" applyFont="1" applyBorder="1" applyAlignment="1">
      <alignment horizontal="center" vertical="center"/>
    </xf>
    <xf numFmtId="0" fontId="71" fillId="0" borderId="0" xfId="4" applyFont="1" applyAlignment="1">
      <alignment vertical="center"/>
    </xf>
    <xf numFmtId="0" fontId="71" fillId="0" borderId="0" xfId="4" applyFont="1"/>
    <xf numFmtId="9" fontId="19" fillId="0" borderId="29" xfId="4" applyNumberFormat="1" applyBorder="1" applyAlignment="1">
      <alignment horizontal="center" vertical="center" wrapText="1"/>
    </xf>
    <xf numFmtId="9" fontId="19" fillId="0" borderId="34" xfId="4" applyNumberFormat="1" applyBorder="1" applyAlignment="1">
      <alignment horizontal="center" vertical="center" wrapText="1"/>
    </xf>
    <xf numFmtId="0" fontId="19" fillId="0" borderId="53" xfId="7" applyBorder="1" applyAlignment="1">
      <alignment vertical="center" wrapText="1"/>
    </xf>
    <xf numFmtId="175" fontId="71" fillId="0" borderId="33" xfId="4" applyNumberFormat="1" applyFont="1" applyBorder="1" applyAlignment="1">
      <alignment horizontal="center" vertical="center"/>
    </xf>
    <xf numFmtId="175" fontId="71" fillId="0" borderId="3" xfId="4" applyNumberFormat="1" applyFont="1" applyBorder="1" applyAlignment="1">
      <alignment horizontal="center" vertical="center"/>
    </xf>
    <xf numFmtId="175" fontId="71" fillId="0" borderId="32" xfId="4" applyNumberFormat="1" applyFont="1" applyBorder="1" applyAlignment="1">
      <alignment horizontal="center" vertical="center"/>
    </xf>
    <xf numFmtId="4" fontId="71" fillId="0" borderId="0" xfId="4" applyNumberFormat="1" applyFont="1" applyAlignment="1">
      <alignment horizontal="center" vertical="center"/>
    </xf>
    <xf numFmtId="0" fontId="78" fillId="0" borderId="0" xfId="4" applyFont="1"/>
    <xf numFmtId="175" fontId="71" fillId="0" borderId="7" xfId="4" applyNumberFormat="1" applyFont="1" applyBorder="1" applyAlignment="1">
      <alignment horizontal="center" vertical="center"/>
    </xf>
    <xf numFmtId="175" fontId="71" fillId="0" borderId="9" xfId="4" applyNumberFormat="1" applyFont="1" applyBorder="1" applyAlignment="1">
      <alignment horizontal="center" vertical="center"/>
    </xf>
    <xf numFmtId="0" fontId="19" fillId="0" borderId="51" xfId="7" applyBorder="1" applyAlignment="1">
      <alignment vertical="center" wrapText="1"/>
    </xf>
    <xf numFmtId="175" fontId="71" fillId="0" borderId="48" xfId="4" applyNumberFormat="1" applyFont="1" applyBorder="1" applyAlignment="1">
      <alignment horizontal="center" vertical="center"/>
    </xf>
    <xf numFmtId="175" fontId="71" fillId="0" borderId="58" xfId="4" applyNumberFormat="1" applyFont="1" applyBorder="1" applyAlignment="1">
      <alignment horizontal="center" vertical="center"/>
    </xf>
    <xf numFmtId="175" fontId="71" fillId="0" borderId="59" xfId="4" applyNumberFormat="1" applyFont="1" applyBorder="1" applyAlignment="1">
      <alignment horizontal="center" vertical="center"/>
    </xf>
    <xf numFmtId="0" fontId="19" fillId="0" borderId="0" xfId="7"/>
    <xf numFmtId="0" fontId="71" fillId="0" borderId="24" xfId="4" applyFont="1" applyBorder="1" applyAlignment="1">
      <alignment horizontal="center" vertical="center"/>
    </xf>
    <xf numFmtId="9" fontId="71" fillId="0" borderId="29" xfId="4" applyNumberFormat="1" applyFont="1" applyBorder="1" applyAlignment="1">
      <alignment horizontal="center" vertical="center" wrapText="1"/>
    </xf>
    <xf numFmtId="9" fontId="71" fillId="0" borderId="30" xfId="4" applyNumberFormat="1" applyFont="1" applyBorder="1" applyAlignment="1">
      <alignment horizontal="center" vertical="center" wrapText="1"/>
    </xf>
    <xf numFmtId="0" fontId="19" fillId="0" borderId="44" xfId="7" applyBorder="1" applyAlignment="1">
      <alignment vertical="center" wrapText="1"/>
    </xf>
    <xf numFmtId="10" fontId="71" fillId="0" borderId="8" xfId="18" applyNumberFormat="1" applyFont="1" applyBorder="1" applyAlignment="1">
      <alignment horizontal="center" vertical="center"/>
    </xf>
    <xf numFmtId="10" fontId="71" fillId="0" borderId="24" xfId="18" applyNumberFormat="1" applyFont="1" applyBorder="1" applyAlignment="1">
      <alignment horizontal="center" vertical="center"/>
    </xf>
    <xf numFmtId="10" fontId="71" fillId="0" borderId="4" xfId="18" applyNumberFormat="1" applyFont="1" applyBorder="1" applyAlignment="1">
      <alignment horizontal="center" vertical="center"/>
    </xf>
    <xf numFmtId="0" fontId="71" fillId="0" borderId="8" xfId="4" applyFont="1" applyBorder="1" applyAlignment="1">
      <alignment horizontal="center" vertical="center"/>
    </xf>
    <xf numFmtId="0" fontId="71" fillId="0" borderId="9" xfId="4" applyFont="1" applyBorder="1" applyAlignment="1">
      <alignment horizontal="center" vertical="center"/>
    </xf>
    <xf numFmtId="10" fontId="71" fillId="0" borderId="26" xfId="18" applyNumberFormat="1" applyFont="1" applyBorder="1" applyAlignment="1">
      <alignment horizontal="center" vertical="center"/>
    </xf>
    <xf numFmtId="10" fontId="71" fillId="0" borderId="1" xfId="18" applyNumberFormat="1" applyFont="1" applyBorder="1" applyAlignment="1">
      <alignment horizontal="center" vertical="center"/>
    </xf>
    <xf numFmtId="10" fontId="71" fillId="0" borderId="39" xfId="18" applyNumberFormat="1" applyFont="1" applyBorder="1" applyAlignment="1">
      <alignment horizontal="center" vertical="center"/>
    </xf>
    <xf numFmtId="0" fontId="71" fillId="0" borderId="26" xfId="4" applyFont="1" applyBorder="1" applyAlignment="1">
      <alignment horizontal="center" vertical="center"/>
    </xf>
    <xf numFmtId="0" fontId="71" fillId="0" borderId="32" xfId="4" applyFont="1" applyBorder="1" applyAlignment="1">
      <alignment horizontal="center" vertical="center"/>
    </xf>
    <xf numFmtId="0" fontId="19" fillId="0" borderId="78" xfId="7" applyBorder="1" applyAlignment="1">
      <alignment vertical="center" wrapText="1"/>
    </xf>
    <xf numFmtId="10" fontId="71" fillId="0" borderId="45" xfId="18" applyNumberFormat="1" applyFont="1" applyBorder="1" applyAlignment="1">
      <alignment horizontal="center" vertical="center"/>
    </xf>
    <xf numFmtId="10" fontId="71" fillId="0" borderId="30" xfId="18" applyNumberFormat="1" applyFont="1" applyBorder="1" applyAlignment="1">
      <alignment horizontal="center" vertical="center"/>
    </xf>
    <xf numFmtId="10" fontId="71" fillId="0" borderId="67" xfId="18" applyNumberFormat="1" applyFont="1" applyBorder="1" applyAlignment="1">
      <alignment horizontal="center" vertical="center"/>
    </xf>
    <xf numFmtId="10" fontId="71" fillId="0" borderId="59" xfId="18" applyNumberFormat="1" applyFont="1" applyBorder="1" applyAlignment="1">
      <alignment horizontal="center" vertical="center"/>
    </xf>
    <xf numFmtId="0" fontId="78" fillId="0" borderId="0" xfId="4" applyFont="1" applyAlignment="1">
      <alignment vertical="center"/>
    </xf>
    <xf numFmtId="0" fontId="19" fillId="0" borderId="0" xfId="4" applyAlignment="1">
      <alignment vertical="center"/>
    </xf>
    <xf numFmtId="10" fontId="71" fillId="0" borderId="8" xfId="2" applyNumberFormat="1" applyFont="1" applyBorder="1" applyAlignment="1">
      <alignment horizontal="center" vertical="center"/>
    </xf>
    <xf numFmtId="10" fontId="71" fillId="0" borderId="4" xfId="2" applyNumberFormat="1" applyFont="1" applyBorder="1" applyAlignment="1">
      <alignment horizontal="center" vertical="center"/>
    </xf>
    <xf numFmtId="10" fontId="71" fillId="0" borderId="26" xfId="2" applyNumberFormat="1" applyFont="1" applyBorder="1" applyAlignment="1">
      <alignment horizontal="center" vertical="center"/>
    </xf>
    <xf numFmtId="10" fontId="71" fillId="0" borderId="39" xfId="2" applyNumberFormat="1" applyFont="1" applyBorder="1" applyAlignment="1">
      <alignment horizontal="center" vertical="center"/>
    </xf>
    <xf numFmtId="10" fontId="71" fillId="0" borderId="45" xfId="2" applyNumberFormat="1" applyFont="1" applyBorder="1" applyAlignment="1">
      <alignment horizontal="center" vertical="center"/>
    </xf>
    <xf numFmtId="10" fontId="71" fillId="0" borderId="67" xfId="2" applyNumberFormat="1" applyFont="1" applyBorder="1" applyAlignment="1">
      <alignment horizontal="center" vertical="center"/>
    </xf>
    <xf numFmtId="175" fontId="71" fillId="0" borderId="8" xfId="4" applyNumberFormat="1" applyFont="1" applyBorder="1" applyAlignment="1">
      <alignment horizontal="center" vertical="center"/>
    </xf>
    <xf numFmtId="175" fontId="71" fillId="0" borderId="26" xfId="18" applyNumberFormat="1" applyFont="1" applyBorder="1" applyAlignment="1">
      <alignment horizontal="center" vertical="center"/>
    </xf>
    <xf numFmtId="175" fontId="71" fillId="0" borderId="32" xfId="18" applyNumberFormat="1" applyFont="1" applyBorder="1" applyAlignment="1">
      <alignment horizontal="center" vertical="center"/>
    </xf>
    <xf numFmtId="175" fontId="71" fillId="0" borderId="45" xfId="4" applyNumberFormat="1" applyFont="1" applyBorder="1" applyAlignment="1">
      <alignment horizontal="center" vertical="center"/>
    </xf>
    <xf numFmtId="10" fontId="71" fillId="0" borderId="9" xfId="18" applyNumberFormat="1" applyFont="1" applyBorder="1" applyAlignment="1">
      <alignment horizontal="center" vertical="center"/>
    </xf>
    <xf numFmtId="10" fontId="71" fillId="0" borderId="32" xfId="18" applyNumberFormat="1" applyFont="1" applyBorder="1" applyAlignment="1">
      <alignment horizontal="center" vertical="center"/>
    </xf>
    <xf numFmtId="10" fontId="19" fillId="0" borderId="1" xfId="2" applyNumberFormat="1" applyFont="1" applyBorder="1" applyAlignment="1">
      <alignment horizontal="center" vertical="center" wrapText="1"/>
    </xf>
    <xf numFmtId="9" fontId="19" fillId="0" borderId="1" xfId="2" applyFont="1" applyBorder="1" applyAlignment="1">
      <alignment horizontal="center" vertical="center" wrapText="1"/>
    </xf>
    <xf numFmtId="10" fontId="19" fillId="0" borderId="30" xfId="2" applyNumberFormat="1" applyFont="1" applyBorder="1" applyAlignment="1">
      <alignment horizontal="center" vertical="center" wrapText="1"/>
    </xf>
    <xf numFmtId="0" fontId="72" fillId="18" borderId="6" xfId="4" applyFont="1" applyFill="1" applyBorder="1" applyAlignment="1">
      <alignment vertical="center"/>
    </xf>
    <xf numFmtId="0" fontId="77" fillId="0" borderId="50" xfId="4" applyFont="1" applyBorder="1" applyAlignment="1">
      <alignment vertical="center"/>
    </xf>
    <xf numFmtId="0" fontId="71" fillId="0" borderId="65" xfId="4" applyFont="1" applyBorder="1" applyAlignment="1">
      <alignment horizontal="center" vertical="center"/>
    </xf>
    <xf numFmtId="9" fontId="19" fillId="0" borderId="28" xfId="4" applyNumberFormat="1" applyBorder="1" applyAlignment="1">
      <alignment horizontal="center" vertical="center" wrapText="1"/>
    </xf>
    <xf numFmtId="0" fontId="19" fillId="0" borderId="53" xfId="19" applyFont="1" applyBorder="1" applyAlignment="1">
      <alignment vertical="center" wrapText="1"/>
    </xf>
    <xf numFmtId="175" fontId="71" fillId="0" borderId="1" xfId="4" applyNumberFormat="1" applyFont="1" applyBorder="1" applyAlignment="1">
      <alignment horizontal="center" vertical="center"/>
    </xf>
    <xf numFmtId="4" fontId="19" fillId="0" borderId="0" xfId="4" applyNumberFormat="1" applyAlignment="1">
      <alignment horizontal="center" vertical="center"/>
    </xf>
    <xf numFmtId="0" fontId="67" fillId="0" borderId="0" xfId="4" applyFont="1" applyAlignment="1">
      <alignment vertical="center"/>
    </xf>
    <xf numFmtId="175" fontId="71" fillId="0" borderId="8" xfId="18" applyNumberFormat="1" applyFont="1" applyBorder="1" applyAlignment="1">
      <alignment horizontal="center" vertical="center"/>
    </xf>
    <xf numFmtId="175" fontId="71" fillId="0" borderId="1" xfId="18" applyNumberFormat="1" applyFont="1" applyBorder="1" applyAlignment="1">
      <alignment horizontal="center" vertical="center"/>
    </xf>
    <xf numFmtId="175" fontId="71" fillId="0" borderId="9" xfId="18" applyNumberFormat="1" applyFont="1" applyBorder="1" applyAlignment="1">
      <alignment horizontal="center" vertical="center"/>
    </xf>
    <xf numFmtId="0" fontId="19" fillId="0" borderId="51" xfId="19" applyFont="1" applyBorder="1" applyAlignment="1">
      <alignment vertical="center" wrapText="1"/>
    </xf>
    <xf numFmtId="175" fontId="71" fillId="0" borderId="28" xfId="4" applyNumberFormat="1" applyFont="1" applyBorder="1" applyAlignment="1">
      <alignment horizontal="center" vertical="center"/>
    </xf>
    <xf numFmtId="175" fontId="71" fillId="0" borderId="30" xfId="4" applyNumberFormat="1" applyFont="1" applyBorder="1" applyAlignment="1">
      <alignment horizontal="center" vertical="center"/>
    </xf>
    <xf numFmtId="175" fontId="71" fillId="0" borderId="31" xfId="4" applyNumberFormat="1" applyFont="1" applyBorder="1" applyAlignment="1">
      <alignment horizontal="center" vertical="center"/>
    </xf>
    <xf numFmtId="3" fontId="19" fillId="0" borderId="0" xfId="4" applyNumberFormat="1" applyAlignment="1">
      <alignment horizontal="center" vertical="center"/>
    </xf>
    <xf numFmtId="0" fontId="80" fillId="0" borderId="0" xfId="4" applyFont="1" applyAlignment="1">
      <alignment vertical="center"/>
    </xf>
    <xf numFmtId="0" fontId="19" fillId="0" borderId="52" xfId="19" applyFont="1" applyBorder="1" applyAlignment="1">
      <alignment vertical="center" wrapText="1"/>
    </xf>
    <xf numFmtId="10" fontId="71" fillId="0" borderId="3" xfId="18" applyNumberFormat="1" applyFont="1" applyBorder="1" applyAlignment="1">
      <alignment horizontal="center" vertical="center"/>
    </xf>
    <xf numFmtId="10" fontId="71" fillId="0" borderId="28" xfId="18" applyNumberFormat="1" applyFont="1" applyBorder="1" applyAlignment="1">
      <alignment horizontal="center" vertical="center"/>
    </xf>
    <xf numFmtId="10" fontId="71" fillId="0" borderId="31" xfId="18" applyNumberFormat="1" applyFont="1" applyBorder="1" applyAlignment="1">
      <alignment horizontal="center" vertical="center"/>
    </xf>
    <xf numFmtId="0" fontId="19" fillId="0" borderId="70" xfId="4" applyBorder="1" applyAlignment="1">
      <alignment horizontal="center" vertical="center"/>
    </xf>
    <xf numFmtId="0" fontId="19" fillId="0" borderId="66" xfId="4" applyBorder="1" applyAlignment="1">
      <alignment horizontal="center" vertical="center"/>
    </xf>
    <xf numFmtId="0" fontId="19" fillId="0" borderId="69" xfId="4" applyBorder="1" applyAlignment="1">
      <alignment horizontal="center" vertical="center"/>
    </xf>
    <xf numFmtId="0" fontId="19" fillId="0" borderId="65" xfId="4" applyBorder="1"/>
    <xf numFmtId="0" fontId="19" fillId="0" borderId="8" xfId="4" applyBorder="1"/>
    <xf numFmtId="10" fontId="19" fillId="0" borderId="9" xfId="18" applyNumberFormat="1" applyFont="1" applyFill="1" applyBorder="1" applyAlignment="1">
      <alignment horizontal="center" vertical="center"/>
    </xf>
    <xf numFmtId="0" fontId="19" fillId="0" borderId="28" xfId="4" applyBorder="1"/>
    <xf numFmtId="10" fontId="19" fillId="0" borderId="31" xfId="18" applyNumberFormat="1" applyFont="1" applyFill="1" applyBorder="1" applyAlignment="1">
      <alignment horizontal="center" vertical="center"/>
    </xf>
    <xf numFmtId="10" fontId="19" fillId="0" borderId="32" xfId="18" applyNumberFormat="1" applyFont="1" applyFill="1" applyBorder="1" applyAlignment="1">
      <alignment horizontal="center" vertical="center"/>
    </xf>
    <xf numFmtId="0" fontId="66" fillId="0" borderId="0" xfId="4" applyFont="1" applyAlignment="1">
      <alignment horizontal="center" vertical="center"/>
    </xf>
    <xf numFmtId="10" fontId="78" fillId="0" borderId="0" xfId="18" applyNumberFormat="1" applyFont="1" applyFill="1" applyBorder="1" applyAlignment="1">
      <alignment horizontal="center" vertical="center"/>
    </xf>
    <xf numFmtId="10" fontId="0" fillId="0" borderId="0" xfId="18" applyNumberFormat="1" applyFont="1" applyFill="1" applyBorder="1" applyAlignment="1">
      <alignment horizontal="center" vertical="center"/>
    </xf>
    <xf numFmtId="2" fontId="19" fillId="0" borderId="0" xfId="4" applyNumberFormat="1" applyAlignment="1">
      <alignment horizontal="center" vertical="center"/>
    </xf>
    <xf numFmtId="0" fontId="19" fillId="0" borderId="60" xfId="4" applyBorder="1" applyAlignment="1">
      <alignment horizontal="center" vertical="center"/>
    </xf>
    <xf numFmtId="0" fontId="66" fillId="0" borderId="0" xfId="4" applyFont="1" applyAlignment="1">
      <alignment vertical="center"/>
    </xf>
    <xf numFmtId="4" fontId="19" fillId="0" borderId="0" xfId="4" applyNumberFormat="1" applyAlignment="1">
      <alignment vertical="center"/>
    </xf>
    <xf numFmtId="10" fontId="0" fillId="0" borderId="0" xfId="18" applyNumberFormat="1" applyFont="1" applyBorder="1" applyAlignment="1">
      <alignment vertical="center"/>
    </xf>
    <xf numFmtId="2" fontId="19" fillId="0" borderId="0" xfId="4" applyNumberFormat="1" applyAlignment="1">
      <alignment vertical="center"/>
    </xf>
    <xf numFmtId="0" fontId="81" fillId="0" borderId="0" xfId="4" applyFont="1"/>
    <xf numFmtId="0" fontId="19" fillId="0" borderId="0" xfId="4" applyAlignment="1">
      <alignment horizontal="center"/>
    </xf>
    <xf numFmtId="3" fontId="19" fillId="0" borderId="0" xfId="4" applyNumberFormat="1" applyAlignment="1">
      <alignment vertical="center"/>
    </xf>
    <xf numFmtId="10" fontId="0" fillId="0" borderId="0" xfId="18" applyNumberFormat="1" applyFont="1" applyFill="1" applyBorder="1" applyAlignment="1">
      <alignment vertical="center"/>
    </xf>
    <xf numFmtId="0" fontId="82" fillId="0" borderId="0" xfId="4" applyFont="1" applyAlignment="1">
      <alignment vertical="center"/>
    </xf>
    <xf numFmtId="0" fontId="83" fillId="0" borderId="0" xfId="4" applyFont="1" applyAlignment="1">
      <alignment vertical="center"/>
    </xf>
    <xf numFmtId="3" fontId="81" fillId="0" borderId="0" xfId="4" applyNumberFormat="1" applyFont="1" applyAlignment="1">
      <alignment vertical="center"/>
    </xf>
    <xf numFmtId="10" fontId="81" fillId="0" borderId="0" xfId="18" applyNumberFormat="1" applyFont="1" applyFill="1" applyBorder="1" applyAlignment="1">
      <alignment vertical="center"/>
    </xf>
    <xf numFmtId="0" fontId="19" fillId="0" borderId="68" xfId="4" applyBorder="1" applyAlignment="1">
      <alignment horizontal="center" vertical="center"/>
    </xf>
    <xf numFmtId="0" fontId="19" fillId="0" borderId="43" xfId="4" applyBorder="1"/>
    <xf numFmtId="175" fontId="71" fillId="0" borderId="43" xfId="18" applyNumberFormat="1" applyFont="1" applyBorder="1" applyAlignment="1">
      <alignment horizontal="center" vertical="center"/>
    </xf>
    <xf numFmtId="175" fontId="71" fillId="0" borderId="79" xfId="18" applyNumberFormat="1" applyFont="1" applyBorder="1" applyAlignment="1">
      <alignment horizontal="center" vertical="center"/>
    </xf>
    <xf numFmtId="175" fontId="71" fillId="0" borderId="43" xfId="4" applyNumberFormat="1" applyFont="1" applyBorder="1" applyAlignment="1">
      <alignment horizontal="center" vertical="center"/>
    </xf>
    <xf numFmtId="175" fontId="71" fillId="0" borderId="79" xfId="4" applyNumberFormat="1" applyFont="1" applyBorder="1" applyAlignment="1">
      <alignment horizontal="center" vertical="center"/>
    </xf>
    <xf numFmtId="0" fontId="54" fillId="0" borderId="0" xfId="20"/>
    <xf numFmtId="0" fontId="86" fillId="0" borderId="8" xfId="4" applyFont="1" applyBorder="1" applyAlignment="1">
      <alignment horizontal="center" vertical="center" wrapText="1"/>
    </xf>
    <xf numFmtId="0" fontId="86" fillId="0" borderId="1" xfId="4" applyFont="1" applyBorder="1" applyAlignment="1">
      <alignment horizontal="center" vertical="center" wrapText="1"/>
    </xf>
    <xf numFmtId="0" fontId="86" fillId="21" borderId="1" xfId="4" applyFont="1" applyFill="1" applyBorder="1" applyAlignment="1">
      <alignment horizontal="center" vertical="center" wrapText="1"/>
    </xf>
    <xf numFmtId="0" fontId="86" fillId="0" borderId="7" xfId="4" applyFont="1" applyBorder="1" applyAlignment="1">
      <alignment horizontal="center" vertical="center" wrapText="1"/>
    </xf>
    <xf numFmtId="0" fontId="86" fillId="21" borderId="9" xfId="4" applyFont="1" applyFill="1" applyBorder="1" applyAlignment="1">
      <alignment horizontal="center" vertical="center" wrapText="1"/>
    </xf>
    <xf numFmtId="0" fontId="86" fillId="23" borderId="1" xfId="4" applyFont="1" applyFill="1" applyBorder="1" applyAlignment="1">
      <alignment horizontal="center" vertical="center" wrapText="1"/>
    </xf>
    <xf numFmtId="0" fontId="86" fillId="0" borderId="3" xfId="4" applyFont="1" applyBorder="1" applyAlignment="1">
      <alignment horizontal="center" vertical="center" wrapText="1"/>
    </xf>
    <xf numFmtId="0" fontId="86" fillId="0" borderId="45" xfId="4" applyFont="1" applyBorder="1" applyAlignment="1">
      <alignment horizontal="center" vertical="center" wrapText="1"/>
    </xf>
    <xf numFmtId="0" fontId="86" fillId="0" borderId="58" xfId="4" applyFont="1" applyBorder="1" applyAlignment="1">
      <alignment horizontal="center" vertical="center" wrapText="1"/>
    </xf>
    <xf numFmtId="0" fontId="86" fillId="0" borderId="30" xfId="4" applyFont="1" applyBorder="1" applyAlignment="1">
      <alignment horizontal="center" vertical="center" wrapText="1"/>
    </xf>
    <xf numFmtId="0" fontId="86" fillId="23" borderId="30" xfId="4" applyFont="1" applyFill="1" applyBorder="1" applyAlignment="1">
      <alignment horizontal="center" vertical="center" wrapText="1"/>
    </xf>
    <xf numFmtId="0" fontId="86" fillId="21" borderId="59" xfId="4" applyFont="1" applyFill="1" applyBorder="1" applyAlignment="1">
      <alignment horizontal="center" vertical="center" wrapText="1"/>
    </xf>
    <xf numFmtId="0" fontId="87" fillId="0" borderId="0" xfId="20" applyFont="1" applyAlignment="1">
      <alignment horizontal="center" vertical="center" wrapText="1"/>
    </xf>
    <xf numFmtId="0" fontId="86" fillId="0" borderId="0" xfId="20" applyFont="1" applyAlignment="1">
      <alignment horizontal="center" vertical="center" wrapText="1"/>
    </xf>
    <xf numFmtId="0" fontId="88" fillId="0" borderId="0" xfId="20" applyFont="1" applyAlignment="1">
      <alignment horizontal="center" vertical="center" wrapText="1"/>
    </xf>
    <xf numFmtId="0" fontId="90" fillId="0" borderId="0" xfId="20" applyFont="1" applyAlignment="1">
      <alignment vertical="center"/>
    </xf>
    <xf numFmtId="0" fontId="54" fillId="0" borderId="0" xfId="20" applyAlignment="1">
      <alignment vertical="center"/>
    </xf>
    <xf numFmtId="0" fontId="7" fillId="0" borderId="0" xfId="19" applyFont="1"/>
    <xf numFmtId="0" fontId="54" fillId="0" borderId="28" xfId="20" applyBorder="1"/>
    <xf numFmtId="0" fontId="54" fillId="0" borderId="30" xfId="20" applyBorder="1"/>
    <xf numFmtId="0" fontId="54" fillId="0" borderId="31" xfId="20" applyBorder="1"/>
    <xf numFmtId="0" fontId="66" fillId="0" borderId="41" xfId="20" applyFont="1" applyBorder="1" applyAlignment="1">
      <alignment horizontal="right" vertical="center"/>
    </xf>
    <xf numFmtId="0" fontId="54" fillId="0" borderId="65" xfId="20" applyBorder="1" applyAlignment="1">
      <alignment horizontal="center"/>
    </xf>
    <xf numFmtId="0" fontId="54" fillId="0" borderId="24" xfId="20" applyBorder="1" applyAlignment="1">
      <alignment horizontal="center"/>
    </xf>
    <xf numFmtId="0" fontId="54" fillId="0" borderId="25" xfId="20" applyBorder="1" applyAlignment="1">
      <alignment horizontal="center"/>
    </xf>
    <xf numFmtId="0" fontId="54" fillId="0" borderId="44" xfId="20" applyBorder="1" applyAlignment="1">
      <alignment horizontal="right"/>
    </xf>
    <xf numFmtId="0" fontId="54" fillId="21" borderId="8" xfId="20" applyFill="1" applyBorder="1" applyAlignment="1">
      <alignment horizontal="center" vertical="center"/>
    </xf>
    <xf numFmtId="0" fontId="54" fillId="21" borderId="1" xfId="20" applyFill="1" applyBorder="1" applyAlignment="1">
      <alignment horizontal="center" vertical="center"/>
    </xf>
    <xf numFmtId="0" fontId="54" fillId="23" borderId="9" xfId="20" applyFill="1" applyBorder="1" applyAlignment="1">
      <alignment horizontal="center" vertical="center"/>
    </xf>
    <xf numFmtId="0" fontId="54" fillId="23" borderId="1" xfId="20" applyFill="1" applyBorder="1" applyAlignment="1">
      <alignment horizontal="center" vertical="center"/>
    </xf>
    <xf numFmtId="0" fontId="54" fillId="19" borderId="9" xfId="20" applyFill="1" applyBorder="1" applyAlignment="1">
      <alignment horizontal="center" vertical="center"/>
    </xf>
    <xf numFmtId="0" fontId="54" fillId="19" borderId="1" xfId="20" applyFill="1" applyBorder="1" applyAlignment="1">
      <alignment horizontal="center" vertical="center"/>
    </xf>
    <xf numFmtId="0" fontId="54" fillId="24" borderId="1" xfId="20" applyFill="1" applyBorder="1" applyAlignment="1">
      <alignment horizontal="center" vertical="center"/>
    </xf>
    <xf numFmtId="0" fontId="54" fillId="24" borderId="9" xfId="20" applyFill="1" applyBorder="1" applyAlignment="1">
      <alignment horizontal="center" vertical="center"/>
    </xf>
    <xf numFmtId="0" fontId="54" fillId="0" borderId="78" xfId="20" applyBorder="1" applyAlignment="1">
      <alignment horizontal="right"/>
    </xf>
    <xf numFmtId="0" fontId="54" fillId="23" borderId="28" xfId="20" applyFill="1" applyBorder="1" applyAlignment="1">
      <alignment horizontal="center" vertical="center"/>
    </xf>
    <xf numFmtId="0" fontId="54" fillId="19" borderId="30" xfId="20" applyFill="1" applyBorder="1" applyAlignment="1">
      <alignment horizontal="center" vertical="center"/>
    </xf>
    <xf numFmtId="0" fontId="54" fillId="24" borderId="30" xfId="20" applyFill="1" applyBorder="1" applyAlignment="1">
      <alignment horizontal="center" vertical="center"/>
    </xf>
    <xf numFmtId="0" fontId="54" fillId="24" borderId="31" xfId="20" applyFill="1" applyBorder="1" applyAlignment="1">
      <alignment horizontal="center" vertical="center"/>
    </xf>
    <xf numFmtId="0" fontId="93" fillId="0" borderId="82" xfId="21" applyFont="1" applyBorder="1" applyAlignment="1">
      <alignment horizontal="center" wrapText="1"/>
    </xf>
    <xf numFmtId="0" fontId="93" fillId="0" borderId="83" xfId="21" applyFont="1" applyBorder="1" applyAlignment="1">
      <alignment horizontal="center" wrapText="1"/>
    </xf>
    <xf numFmtId="4" fontId="93" fillId="0" borderId="26" xfId="21" applyNumberFormat="1" applyFont="1" applyBorder="1" applyAlignment="1">
      <alignment horizontal="right" vertical="center"/>
    </xf>
    <xf numFmtId="4" fontId="93" fillId="0" borderId="32" xfId="21" applyNumberFormat="1" applyFont="1" applyBorder="1" applyAlignment="1">
      <alignment horizontal="right" vertical="center"/>
    </xf>
    <xf numFmtId="0" fontId="93" fillId="0" borderId="9" xfId="21" applyFont="1" applyBorder="1" applyAlignment="1">
      <alignment horizontal="left" vertical="top" wrapText="1"/>
    </xf>
    <xf numFmtId="4" fontId="93" fillId="0" borderId="8" xfId="21" applyNumberFormat="1" applyFont="1" applyBorder="1" applyAlignment="1">
      <alignment horizontal="right" vertical="center"/>
    </xf>
    <xf numFmtId="0" fontId="93" fillId="0" borderId="9" xfId="21" applyFont="1" applyBorder="1" applyAlignment="1">
      <alignment horizontal="left" vertical="center" wrapText="1"/>
    </xf>
    <xf numFmtId="176" fontId="93" fillId="0" borderId="9" xfId="21" applyNumberFormat="1" applyFont="1" applyBorder="1" applyAlignment="1">
      <alignment horizontal="right" vertical="center"/>
    </xf>
    <xf numFmtId="4" fontId="93" fillId="0" borderId="28" xfId="21" applyNumberFormat="1" applyFont="1" applyBorder="1" applyAlignment="1">
      <alignment horizontal="right" vertical="center"/>
    </xf>
    <xf numFmtId="176" fontId="93" fillId="0" borderId="31" xfId="21" applyNumberFormat="1" applyFont="1" applyBorder="1" applyAlignment="1">
      <alignment horizontal="right" vertical="center"/>
    </xf>
    <xf numFmtId="170" fontId="19" fillId="0" borderId="22" xfId="4" applyNumberFormat="1" applyBorder="1" applyAlignment="1">
      <alignment horizontal="right" vertical="center"/>
    </xf>
    <xf numFmtId="170" fontId="19" fillId="0" borderId="34" xfId="4" applyNumberFormat="1" applyBorder="1" applyAlignment="1">
      <alignment horizontal="right" vertical="center"/>
    </xf>
    <xf numFmtId="0" fontId="93" fillId="0" borderId="21" xfId="22" applyFont="1" applyBorder="1" applyAlignment="1">
      <alignment horizontal="center" wrapText="1"/>
    </xf>
    <xf numFmtId="0" fontId="93" fillId="0" borderId="69" xfId="22" applyFont="1" applyBorder="1" applyAlignment="1">
      <alignment horizontal="center" wrapText="1"/>
    </xf>
    <xf numFmtId="4" fontId="93" fillId="0" borderId="65" xfId="22" applyNumberFormat="1" applyFont="1" applyBorder="1" applyAlignment="1">
      <alignment horizontal="right" vertical="center"/>
    </xf>
    <xf numFmtId="4" fontId="93" fillId="0" borderId="25" xfId="22" applyNumberFormat="1" applyFont="1" applyBorder="1" applyAlignment="1">
      <alignment horizontal="right" vertical="center"/>
    </xf>
    <xf numFmtId="0" fontId="93" fillId="0" borderId="9" xfId="22" applyFont="1" applyBorder="1" applyAlignment="1">
      <alignment horizontal="left" vertical="top" wrapText="1"/>
    </xf>
    <xf numFmtId="4" fontId="93" fillId="0" borderId="8" xfId="22" applyNumberFormat="1" applyFont="1" applyBorder="1" applyAlignment="1">
      <alignment horizontal="right" vertical="center"/>
    </xf>
    <xf numFmtId="0" fontId="93" fillId="0" borderId="9" xfId="22" applyFont="1" applyBorder="1" applyAlignment="1">
      <alignment horizontal="left" vertical="center" wrapText="1"/>
    </xf>
    <xf numFmtId="176" fontId="93" fillId="0" borderId="9" xfId="22" applyNumberFormat="1" applyFont="1" applyBorder="1" applyAlignment="1">
      <alignment horizontal="right" vertical="center"/>
    </xf>
    <xf numFmtId="4" fontId="93" fillId="0" borderId="28" xfId="22" applyNumberFormat="1" applyFont="1" applyBorder="1" applyAlignment="1">
      <alignment horizontal="right" vertical="center"/>
    </xf>
    <xf numFmtId="176" fontId="93" fillId="0" borderId="31" xfId="22" applyNumberFormat="1" applyFont="1" applyBorder="1" applyAlignment="1">
      <alignment horizontal="right" vertical="center"/>
    </xf>
    <xf numFmtId="170" fontId="19" fillId="0" borderId="22" xfId="4" applyNumberFormat="1" applyBorder="1"/>
    <xf numFmtId="170" fontId="19" fillId="0" borderId="34" xfId="4" applyNumberFormat="1" applyBorder="1"/>
    <xf numFmtId="0" fontId="19" fillId="0" borderId="8" xfId="7" applyBorder="1" applyAlignment="1">
      <alignment horizontal="center" vertical="center" wrapText="1"/>
    </xf>
    <xf numFmtId="0" fontId="19" fillId="0" borderId="28" xfId="7" applyBorder="1" applyAlignment="1">
      <alignment horizontal="center" vertical="center" wrapText="1"/>
    </xf>
    <xf numFmtId="10" fontId="6" fillId="0" borderId="1" xfId="2" applyNumberFormat="1" applyFont="1" applyBorder="1" applyAlignment="1">
      <alignment horizontal="center" vertical="center" wrapText="1"/>
    </xf>
    <xf numFmtId="10" fontId="6" fillId="0" borderId="48" xfId="2" applyNumberFormat="1" applyFont="1" applyBorder="1" applyAlignment="1">
      <alignment horizontal="center" vertical="center" wrapText="1"/>
    </xf>
    <xf numFmtId="10" fontId="6" fillId="0" borderId="7" xfId="2" applyNumberFormat="1" applyFont="1" applyBorder="1" applyAlignment="1">
      <alignment horizontal="center" vertical="center" wrapText="1"/>
    </xf>
    <xf numFmtId="10" fontId="19" fillId="0" borderId="25" xfId="18" applyNumberFormat="1" applyFont="1" applyFill="1" applyBorder="1" applyAlignment="1">
      <alignment horizontal="center" vertical="center"/>
    </xf>
    <xf numFmtId="10" fontId="19" fillId="0" borderId="31" xfId="18" applyNumberFormat="1" applyFont="1" applyBorder="1" applyAlignment="1">
      <alignment horizontal="center" vertical="center"/>
    </xf>
    <xf numFmtId="0" fontId="86" fillId="0" borderId="8" xfId="23" applyFont="1" applyBorder="1" applyAlignment="1">
      <alignment horizontal="center" vertical="center" wrapText="1"/>
    </xf>
    <xf numFmtId="0" fontId="86" fillId="0" borderId="1" xfId="23" applyFont="1" applyBorder="1" applyAlignment="1">
      <alignment horizontal="center" vertical="center" wrapText="1"/>
    </xf>
    <xf numFmtId="0" fontId="86" fillId="23" borderId="1" xfId="23" applyFont="1" applyFill="1" applyBorder="1" applyAlignment="1">
      <alignment horizontal="center" vertical="center" wrapText="1"/>
    </xf>
    <xf numFmtId="0" fontId="86" fillId="0" borderId="7" xfId="23" applyFont="1" applyBorder="1" applyAlignment="1">
      <alignment horizontal="center" vertical="center" wrapText="1"/>
    </xf>
    <xf numFmtId="0" fontId="86" fillId="21" borderId="9" xfId="23" applyFont="1" applyFill="1" applyBorder="1" applyAlignment="1">
      <alignment horizontal="center" vertical="center" wrapText="1"/>
    </xf>
    <xf numFmtId="0" fontId="86" fillId="21" borderId="1" xfId="23" applyFont="1" applyFill="1" applyBorder="1" applyAlignment="1">
      <alignment horizontal="center" vertical="center" wrapText="1"/>
    </xf>
    <xf numFmtId="0" fontId="59" fillId="0" borderId="0" xfId="8" applyFont="1" applyAlignment="1">
      <alignment horizontal="center" vertical="center"/>
    </xf>
    <xf numFmtId="0" fontId="1" fillId="0" borderId="0" xfId="15" applyFont="1"/>
    <xf numFmtId="0" fontId="1" fillId="0" borderId="0" xfId="9" applyFont="1" applyAlignment="1">
      <alignment wrapText="1"/>
    </xf>
    <xf numFmtId="0" fontId="6" fillId="0" borderId="8" xfId="19" applyBorder="1" applyAlignment="1">
      <alignment horizontal="center" vertical="center" wrapText="1"/>
    </xf>
    <xf numFmtId="0" fontId="6" fillId="0" borderId="28" xfId="19" applyBorder="1" applyAlignment="1">
      <alignment horizontal="center" vertical="center" wrapText="1"/>
    </xf>
    <xf numFmtId="10" fontId="6" fillId="0" borderId="7" xfId="19" applyNumberFormat="1" applyBorder="1" applyAlignment="1">
      <alignment horizontal="center" vertical="center" wrapText="1"/>
    </xf>
    <xf numFmtId="0" fontId="98" fillId="0" borderId="0" xfId="0" applyFont="1"/>
    <xf numFmtId="0" fontId="99" fillId="0" borderId="0" xfId="0" applyFont="1" applyAlignment="1">
      <alignment horizontal="right"/>
    </xf>
    <xf numFmtId="0" fontId="99" fillId="0" borderId="0" xfId="0" applyFont="1" applyAlignment="1">
      <alignment horizontal="center"/>
    </xf>
    <xf numFmtId="0" fontId="99" fillId="0" borderId="0" xfId="0" applyFont="1"/>
    <xf numFmtId="167" fontId="100" fillId="0" borderId="0" xfId="0" applyNumberFormat="1" applyFont="1"/>
    <xf numFmtId="0" fontId="100" fillId="0" borderId="0" xfId="0" applyFont="1"/>
    <xf numFmtId="2" fontId="102" fillId="0" borderId="0" xfId="8" applyNumberFormat="1" applyFont="1" applyAlignment="1">
      <alignment horizontal="center"/>
    </xf>
    <xf numFmtId="2" fontId="80" fillId="0" borderId="0" xfId="8" applyNumberFormat="1" applyFont="1" applyAlignment="1">
      <alignment horizontal="center"/>
    </xf>
    <xf numFmtId="0" fontId="103" fillId="0" borderId="0" xfId="8" applyFont="1" applyAlignment="1">
      <alignment horizontal="center"/>
    </xf>
    <xf numFmtId="0" fontId="104" fillId="0" borderId="0" xfId="8" applyFont="1" applyAlignment="1">
      <alignment horizontal="center" vertical="center"/>
    </xf>
    <xf numFmtId="2" fontId="105" fillId="0" borderId="0" xfId="8" applyNumberFormat="1" applyFont="1" applyAlignment="1">
      <alignment horizontal="center"/>
    </xf>
    <xf numFmtId="173" fontId="107" fillId="0" borderId="0" xfId="8" applyNumberFormat="1" applyFont="1" applyAlignment="1">
      <alignment vertical="center"/>
    </xf>
    <xf numFmtId="0" fontId="71" fillId="0" borderId="0" xfId="4" applyFont="1" applyAlignment="1">
      <alignment horizontal="center"/>
    </xf>
    <xf numFmtId="3" fontId="71" fillId="0" borderId="0" xfId="4" applyNumberFormat="1" applyFont="1" applyAlignment="1">
      <alignment horizontal="center"/>
    </xf>
    <xf numFmtId="10" fontId="71" fillId="0" borderId="0" xfId="4" applyNumberFormat="1" applyFont="1" applyAlignment="1">
      <alignment horizontal="center"/>
    </xf>
    <xf numFmtId="3" fontId="71" fillId="0" borderId="0" xfId="4" applyNumberFormat="1" applyFont="1"/>
    <xf numFmtId="10" fontId="71" fillId="0" borderId="0" xfId="4" applyNumberFormat="1" applyFont="1"/>
    <xf numFmtId="0" fontId="108" fillId="0" borderId="0" xfId="8" applyFont="1" applyAlignment="1">
      <alignment vertical="center"/>
    </xf>
    <xf numFmtId="14" fontId="35" fillId="0" borderId="0" xfId="5" applyNumberFormat="1" applyFont="1"/>
    <xf numFmtId="0" fontId="36" fillId="0" borderId="0" xfId="5" applyFont="1"/>
    <xf numFmtId="0" fontId="37" fillId="0" borderId="0" xfId="5" applyFont="1"/>
    <xf numFmtId="0" fontId="39" fillId="0" borderId="0" xfId="5" applyFont="1" applyAlignment="1">
      <alignment horizontal="center"/>
    </xf>
    <xf numFmtId="0" fontId="40" fillId="0" borderId="0" xfId="5" applyFont="1"/>
    <xf numFmtId="0" fontId="35" fillId="0" borderId="35" xfId="5" applyFont="1" applyBorder="1" applyAlignment="1">
      <alignment horizontal="center"/>
    </xf>
    <xf numFmtId="0" fontId="37" fillId="0" borderId="35" xfId="5" applyFont="1" applyBorder="1"/>
    <xf numFmtId="0" fontId="46" fillId="0" borderId="0" xfId="5" applyFont="1"/>
    <xf numFmtId="0" fontId="11" fillId="10" borderId="1" xfId="0" applyFont="1" applyFill="1" applyBorder="1" applyAlignment="1">
      <alignment horizontal="left" vertical="center"/>
    </xf>
    <xf numFmtId="0" fontId="10" fillId="10" borderId="1" xfId="0" applyFont="1" applyFill="1" applyBorder="1" applyAlignment="1">
      <alignment horizontal="left" vertical="center" wrapText="1"/>
    </xf>
    <xf numFmtId="0" fontId="27" fillId="10" borderId="1" xfId="0" applyFont="1" applyFill="1" applyBorder="1" applyAlignment="1">
      <alignment horizontal="left" vertical="center" wrapText="1"/>
    </xf>
    <xf numFmtId="0" fontId="11" fillId="10" borderId="1" xfId="0" applyFont="1" applyFill="1" applyBorder="1" applyAlignment="1">
      <alignment horizontal="left" vertical="center" wrapText="1"/>
    </xf>
    <xf numFmtId="0" fontId="0" fillId="10" borderId="1" xfId="0" applyFill="1" applyBorder="1" applyAlignment="1">
      <alignment horizontal="left" vertical="center" wrapText="1"/>
    </xf>
    <xf numFmtId="0" fontId="0" fillId="10" borderId="1" xfId="0" applyFill="1" applyBorder="1" applyAlignment="1">
      <alignment horizontal="left"/>
    </xf>
    <xf numFmtId="0" fontId="10" fillId="10" borderId="1" xfId="0" applyFont="1" applyFill="1" applyBorder="1" applyAlignment="1">
      <alignment vertical="center" wrapText="1"/>
    </xf>
    <xf numFmtId="0" fontId="10" fillId="10" borderId="1" xfId="0" applyFont="1" applyFill="1" applyBorder="1" applyAlignment="1">
      <alignment horizontal="center" vertical="center" wrapText="1"/>
    </xf>
    <xf numFmtId="0" fontId="10" fillId="10" borderId="36" xfId="0" applyFont="1" applyFill="1" applyBorder="1" applyAlignment="1">
      <alignment horizontal="center" vertical="center"/>
    </xf>
    <xf numFmtId="0" fontId="10" fillId="10" borderId="19" xfId="0" applyFont="1" applyFill="1" applyBorder="1" applyAlignment="1">
      <alignment horizontal="center" vertical="center"/>
    </xf>
    <xf numFmtId="0" fontId="10" fillId="10" borderId="39" xfId="0" applyFont="1" applyFill="1" applyBorder="1" applyAlignment="1">
      <alignment horizontal="center" vertical="center"/>
    </xf>
    <xf numFmtId="0" fontId="10" fillId="10" borderId="33" xfId="0" applyFont="1" applyFill="1" applyBorder="1" applyAlignment="1">
      <alignment horizontal="center" vertical="center"/>
    </xf>
    <xf numFmtId="0" fontId="11" fillId="8" borderId="1" xfId="0" applyFont="1" applyFill="1" applyBorder="1" applyAlignment="1">
      <alignment horizontal="left" vertical="center" wrapText="1"/>
    </xf>
    <xf numFmtId="0" fontId="0" fillId="0" borderId="1" xfId="0" applyBorder="1" applyAlignment="1">
      <alignment horizontal="left" vertical="center" wrapText="1"/>
    </xf>
    <xf numFmtId="0" fontId="10" fillId="8" borderId="1" xfId="0" applyFont="1" applyFill="1" applyBorder="1" applyAlignment="1">
      <alignment horizontal="left" vertical="center" wrapText="1"/>
    </xf>
    <xf numFmtId="0" fontId="0" fillId="8" borderId="1" xfId="0" applyFill="1" applyBorder="1" applyAlignment="1">
      <alignment horizontal="left" vertical="center" wrapText="1"/>
    </xf>
    <xf numFmtId="0" fontId="28" fillId="10" borderId="4" xfId="0" applyFont="1" applyFill="1" applyBorder="1" applyAlignment="1">
      <alignment horizontal="left" vertical="center" wrapText="1"/>
    </xf>
    <xf numFmtId="0" fontId="27" fillId="10" borderId="20" xfId="0" applyFont="1" applyFill="1" applyBorder="1" applyAlignment="1">
      <alignment vertical="center"/>
    </xf>
    <xf numFmtId="0" fontId="27" fillId="10" borderId="7" xfId="0" applyFont="1" applyFill="1" applyBorder="1" applyAlignment="1">
      <alignment vertical="center"/>
    </xf>
    <xf numFmtId="0" fontId="10" fillId="10" borderId="5" xfId="0" applyFont="1" applyFill="1" applyBorder="1" applyAlignment="1">
      <alignment vertical="center" wrapText="1"/>
    </xf>
    <xf numFmtId="0" fontId="0" fillId="10" borderId="3" xfId="0" applyFill="1" applyBorder="1" applyAlignment="1">
      <alignment vertical="center" wrapText="1"/>
    </xf>
    <xf numFmtId="0" fontId="0" fillId="0" borderId="1" xfId="0" applyBorder="1" applyAlignment="1">
      <alignment horizontal="left"/>
    </xf>
    <xf numFmtId="0" fontId="10" fillId="8" borderId="4" xfId="0" applyFont="1" applyFill="1" applyBorder="1" applyAlignment="1">
      <alignment horizontal="center" vertical="center"/>
    </xf>
    <xf numFmtId="0" fontId="0" fillId="0" borderId="20" xfId="0" applyBorder="1" applyAlignment="1">
      <alignment horizontal="center" vertical="center"/>
    </xf>
    <xf numFmtId="0" fontId="0" fillId="0" borderId="7" xfId="0" applyBorder="1" applyAlignment="1">
      <alignment horizontal="center" vertical="center"/>
    </xf>
    <xf numFmtId="0" fontId="11" fillId="8" borderId="1" xfId="0" applyFont="1" applyFill="1" applyBorder="1" applyAlignment="1">
      <alignment horizontal="left" vertical="center"/>
    </xf>
    <xf numFmtId="0" fontId="0" fillId="8" borderId="1" xfId="0" applyFill="1" applyBorder="1" applyAlignment="1">
      <alignment horizontal="left"/>
    </xf>
    <xf numFmtId="0" fontId="33" fillId="0" borderId="21" xfId="0" applyFont="1" applyBorder="1" applyAlignment="1">
      <alignment horizontal="center" vertical="center"/>
    </xf>
    <xf numFmtId="0" fontId="33" fillId="0" borderId="26" xfId="0" applyFont="1" applyBorder="1" applyAlignment="1">
      <alignment horizontal="center" vertical="center"/>
    </xf>
    <xf numFmtId="0" fontId="7" fillId="0" borderId="22" xfId="0" applyFont="1" applyBorder="1" applyAlignment="1">
      <alignment horizontal="center"/>
    </xf>
    <xf numFmtId="0" fontId="7" fillId="0" borderId="27" xfId="0" applyFont="1" applyBorder="1" applyAlignment="1">
      <alignment horizontal="center"/>
    </xf>
    <xf numFmtId="0" fontId="10" fillId="15" borderId="21" xfId="16" applyFont="1" applyFill="1" applyBorder="1" applyAlignment="1">
      <alignment horizontal="center" vertical="center" wrapText="1"/>
    </xf>
    <xf numFmtId="0" fontId="10" fillId="15" borderId="26" xfId="16" applyFont="1" applyFill="1" applyBorder="1" applyAlignment="1">
      <alignment horizontal="center" vertical="center" wrapText="1"/>
    </xf>
    <xf numFmtId="0" fontId="7" fillId="15" borderId="24" xfId="16" applyFont="1" applyFill="1" applyBorder="1" applyAlignment="1">
      <alignment horizontal="center" vertical="center" wrapText="1"/>
    </xf>
    <xf numFmtId="0" fontId="7" fillId="15" borderId="1" xfId="16" applyFont="1" applyFill="1" applyBorder="1" applyAlignment="1">
      <alignment horizontal="center" vertical="center" wrapText="1"/>
    </xf>
    <xf numFmtId="0" fontId="7" fillId="15" borderId="30" xfId="16" applyFont="1" applyFill="1" applyBorder="1" applyAlignment="1">
      <alignment horizontal="center" vertical="center" wrapText="1"/>
    </xf>
    <xf numFmtId="0" fontId="7" fillId="15" borderId="66" xfId="16" applyFont="1" applyFill="1" applyBorder="1" applyAlignment="1">
      <alignment horizontal="center" vertical="center" wrapText="1"/>
    </xf>
    <xf numFmtId="0" fontId="7" fillId="15" borderId="57" xfId="16" applyFont="1" applyFill="1" applyBorder="1" applyAlignment="1">
      <alignment horizontal="center" vertical="center" wrapText="1"/>
    </xf>
    <xf numFmtId="0" fontId="7" fillId="15" borderId="58" xfId="16" applyFont="1" applyFill="1" applyBorder="1" applyAlignment="1">
      <alignment horizontal="center" vertical="center" wrapText="1"/>
    </xf>
    <xf numFmtId="0" fontId="7" fillId="0" borderId="0" xfId="16" applyFont="1" applyAlignment="1">
      <alignment horizontal="center" vertical="center" wrapText="1"/>
    </xf>
    <xf numFmtId="0" fontId="7" fillId="0" borderId="35" xfId="16" applyFont="1" applyBorder="1" applyAlignment="1">
      <alignment horizontal="center" vertical="center" wrapText="1"/>
    </xf>
    <xf numFmtId="3" fontId="7" fillId="0" borderId="0" xfId="16" applyNumberFormat="1" applyFont="1" applyAlignment="1">
      <alignment horizontal="center" vertical="center" wrapText="1"/>
    </xf>
    <xf numFmtId="3" fontId="7" fillId="0" borderId="35" xfId="16" applyNumberFormat="1" applyFont="1" applyBorder="1" applyAlignment="1">
      <alignment horizontal="center" vertical="center" wrapText="1"/>
    </xf>
    <xf numFmtId="0" fontId="6" fillId="0" borderId="35" xfId="16" applyBorder="1" applyAlignment="1">
      <alignment horizontal="center" vertical="center" wrapText="1"/>
    </xf>
    <xf numFmtId="0" fontId="6" fillId="0" borderId="0" xfId="16" applyAlignment="1">
      <alignment horizontal="center" vertical="center" wrapText="1"/>
    </xf>
    <xf numFmtId="0" fontId="10" fillId="15" borderId="1" xfId="16" applyFont="1" applyFill="1" applyBorder="1" applyAlignment="1">
      <alignment horizontal="center" vertical="center" wrapText="1"/>
    </xf>
    <xf numFmtId="0" fontId="10" fillId="15" borderId="4" xfId="16" applyFont="1" applyFill="1" applyBorder="1" applyAlignment="1">
      <alignment horizontal="center" vertical="center" wrapText="1"/>
    </xf>
    <xf numFmtId="3" fontId="10" fillId="0" borderId="4" xfId="16" applyNumberFormat="1" applyFont="1" applyBorder="1" applyAlignment="1">
      <alignment horizontal="left"/>
    </xf>
    <xf numFmtId="3" fontId="10" fillId="0" borderId="20" xfId="16" applyNumberFormat="1" applyFont="1" applyBorder="1" applyAlignment="1">
      <alignment horizontal="left"/>
    </xf>
    <xf numFmtId="3" fontId="10" fillId="0" borderId="7" xfId="16" applyNumberFormat="1" applyFont="1" applyBorder="1" applyAlignment="1">
      <alignment horizontal="left"/>
    </xf>
    <xf numFmtId="0" fontId="7" fillId="15" borderId="68" xfId="16" applyFont="1" applyFill="1" applyBorder="1" applyAlignment="1">
      <alignment horizontal="center" vertical="center" wrapText="1"/>
    </xf>
    <xf numFmtId="0" fontId="7" fillId="15" borderId="37" xfId="16" applyFont="1" applyFill="1" applyBorder="1" applyAlignment="1">
      <alignment horizontal="center" vertical="center" wrapText="1"/>
    </xf>
    <xf numFmtId="0" fontId="7" fillId="15" borderId="67" xfId="16" applyFont="1" applyFill="1" applyBorder="1" applyAlignment="1">
      <alignment horizontal="center" vertical="center" wrapText="1"/>
    </xf>
    <xf numFmtId="3" fontId="7" fillId="0" borderId="0" xfId="16" applyNumberFormat="1" applyFont="1" applyAlignment="1">
      <alignment horizontal="center" vertical="center"/>
    </xf>
    <xf numFmtId="3" fontId="7" fillId="0" borderId="35" xfId="16" applyNumberFormat="1" applyFont="1" applyBorder="1" applyAlignment="1">
      <alignment horizontal="center" vertical="center"/>
    </xf>
    <xf numFmtId="0" fontId="7" fillId="15" borderId="69" xfId="16" applyFont="1" applyFill="1" applyBorder="1" applyAlignment="1">
      <alignment horizontal="center" vertical="center" wrapText="1"/>
    </xf>
    <xf numFmtId="0" fontId="7" fillId="15" borderId="61" xfId="16" applyFont="1" applyFill="1" applyBorder="1" applyAlignment="1">
      <alignment horizontal="center" vertical="center" wrapText="1"/>
    </xf>
    <xf numFmtId="0" fontId="7" fillId="15" borderId="59" xfId="16" applyFont="1" applyFill="1" applyBorder="1" applyAlignment="1">
      <alignment horizontal="center" vertical="center" wrapText="1"/>
    </xf>
    <xf numFmtId="0" fontId="7" fillId="15" borderId="3" xfId="16" applyFont="1" applyFill="1" applyBorder="1" applyAlignment="1">
      <alignment horizontal="center" vertical="center" wrapText="1"/>
    </xf>
    <xf numFmtId="0" fontId="7" fillId="15" borderId="32" xfId="16" applyFont="1" applyFill="1" applyBorder="1" applyAlignment="1">
      <alignment horizontal="center" vertical="center" wrapText="1"/>
    </xf>
    <xf numFmtId="0" fontId="60" fillId="0" borderId="4" xfId="8" applyFont="1" applyBorder="1" applyAlignment="1">
      <alignment horizontal="left"/>
    </xf>
    <xf numFmtId="0" fontId="60" fillId="0" borderId="20" xfId="8" applyFont="1" applyBorder="1" applyAlignment="1">
      <alignment horizontal="left"/>
    </xf>
    <xf numFmtId="0" fontId="60" fillId="0" borderId="7" xfId="8" applyFont="1" applyBorder="1" applyAlignment="1">
      <alignment horizontal="left"/>
    </xf>
    <xf numFmtId="2" fontId="33" fillId="0" borderId="56" xfId="0" applyNumberFormat="1" applyFont="1" applyBorder="1" applyAlignment="1">
      <alignment horizontal="center" vertical="center"/>
    </xf>
    <xf numFmtId="2" fontId="33" fillId="0" borderId="55" xfId="0" applyNumberFormat="1" applyFont="1" applyBorder="1" applyAlignment="1">
      <alignment horizontal="center" vertical="center"/>
    </xf>
    <xf numFmtId="0" fontId="103" fillId="0" borderId="0" xfId="8" applyFont="1" applyAlignment="1">
      <alignment horizontal="right"/>
    </xf>
    <xf numFmtId="0" fontId="54" fillId="11" borderId="4" xfId="8" applyFill="1" applyBorder="1" applyAlignment="1">
      <alignment horizontal="center" vertical="center"/>
    </xf>
    <xf numFmtId="0" fontId="54" fillId="11" borderId="20" xfId="8" applyFill="1" applyBorder="1" applyAlignment="1">
      <alignment horizontal="center" vertical="center"/>
    </xf>
    <xf numFmtId="0" fontId="54" fillId="11" borderId="19" xfId="8" applyFill="1" applyBorder="1" applyAlignment="1">
      <alignment horizontal="center" vertical="center"/>
    </xf>
    <xf numFmtId="0" fontId="54" fillId="11" borderId="46" xfId="8" applyFill="1" applyBorder="1" applyAlignment="1">
      <alignment horizontal="center" vertical="center"/>
    </xf>
    <xf numFmtId="0" fontId="54" fillId="11" borderId="47" xfId="8" applyFill="1" applyBorder="1" applyAlignment="1">
      <alignment horizontal="center" vertical="center"/>
    </xf>
    <xf numFmtId="0" fontId="54" fillId="11" borderId="48" xfId="8" applyFill="1" applyBorder="1" applyAlignment="1">
      <alignment horizontal="center" vertical="center"/>
    </xf>
    <xf numFmtId="0" fontId="58" fillId="0" borderId="0" xfId="8" applyFont="1" applyAlignment="1">
      <alignment horizontal="center" vertical="center"/>
    </xf>
    <xf numFmtId="0" fontId="59" fillId="0" borderId="0" xfId="8" applyFont="1" applyAlignment="1">
      <alignment horizontal="center" vertical="center"/>
    </xf>
    <xf numFmtId="0" fontId="0" fillId="0" borderId="10" xfId="0" applyBorder="1" applyAlignment="1">
      <alignment horizontal="center" vertical="center"/>
    </xf>
    <xf numFmtId="0" fontId="0" fillId="0" borderId="15" xfId="0" applyBorder="1" applyAlignment="1">
      <alignment horizontal="center" vertical="center"/>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68" fillId="0" borderId="4" xfId="8" applyFont="1" applyBorder="1" applyAlignment="1">
      <alignment horizontal="left"/>
    </xf>
    <xf numFmtId="0" fontId="68" fillId="0" borderId="20" xfId="8" applyFont="1" applyBorder="1" applyAlignment="1">
      <alignment horizontal="left"/>
    </xf>
    <xf numFmtId="0" fontId="68" fillId="0" borderId="7" xfId="8" applyFont="1" applyBorder="1" applyAlignment="1">
      <alignment horizontal="left"/>
    </xf>
    <xf numFmtId="169" fontId="62" fillId="0" borderId="5" xfId="8" applyNumberFormat="1" applyFont="1" applyBorder="1" applyAlignment="1">
      <alignment horizontal="center" vertical="center"/>
    </xf>
    <xf numFmtId="169" fontId="62" fillId="0" borderId="57" xfId="8" applyNumberFormat="1" applyFont="1" applyBorder="1" applyAlignment="1">
      <alignment horizontal="center" vertical="center"/>
    </xf>
    <xf numFmtId="169" fontId="62" fillId="0" borderId="3" xfId="8" applyNumberFormat="1" applyFont="1" applyBorder="1" applyAlignment="1">
      <alignment horizontal="center" vertical="center"/>
    </xf>
    <xf numFmtId="0" fontId="95" fillId="0" borderId="0" xfId="9" applyFont="1" applyAlignment="1">
      <alignment horizontal="left" wrapText="1"/>
    </xf>
    <xf numFmtId="0" fontId="70" fillId="0" borderId="1" xfId="15" applyFont="1" applyBorder="1" applyAlignment="1">
      <alignment horizontal="left" vertical="center"/>
    </xf>
    <xf numFmtId="0" fontId="2" fillId="0" borderId="1" xfId="15" applyBorder="1" applyAlignment="1">
      <alignment horizontal="left"/>
    </xf>
    <xf numFmtId="0" fontId="54" fillId="11" borderId="7" xfId="8" applyFill="1" applyBorder="1" applyAlignment="1">
      <alignment horizontal="center" vertical="center"/>
    </xf>
    <xf numFmtId="0" fontId="54" fillId="11" borderId="35" xfId="8" applyFill="1" applyBorder="1" applyAlignment="1">
      <alignment horizontal="center" vertical="center"/>
    </xf>
    <xf numFmtId="0" fontId="54" fillId="11" borderId="29" xfId="8" applyFill="1" applyBorder="1" applyAlignment="1">
      <alignment horizontal="center" vertical="center"/>
    </xf>
    <xf numFmtId="0" fontId="71" fillId="0" borderId="66" xfId="4" applyFont="1" applyBorder="1" applyAlignment="1">
      <alignment horizontal="center" vertical="center"/>
    </xf>
    <xf numFmtId="0" fontId="71" fillId="0" borderId="58" xfId="4" applyFont="1" applyBorder="1" applyAlignment="1">
      <alignment horizontal="center" vertical="center"/>
    </xf>
    <xf numFmtId="0" fontId="76" fillId="17" borderId="10" xfId="4" applyFont="1" applyFill="1" applyBorder="1" applyAlignment="1">
      <alignment horizontal="left" vertical="center" wrapText="1"/>
    </xf>
    <xf numFmtId="0" fontId="76" fillId="17" borderId="12" xfId="4" applyFont="1" applyFill="1" applyBorder="1" applyAlignment="1">
      <alignment horizontal="left" vertical="center" wrapText="1"/>
    </xf>
    <xf numFmtId="0" fontId="76" fillId="17" borderId="11" xfId="4" applyFont="1" applyFill="1" applyBorder="1" applyAlignment="1">
      <alignment horizontal="left" vertical="center" wrapText="1"/>
    </xf>
    <xf numFmtId="0" fontId="76" fillId="17" borderId="13" xfId="4" applyFont="1" applyFill="1" applyBorder="1" applyAlignment="1">
      <alignment horizontal="left" vertical="center" wrapText="1"/>
    </xf>
    <xf numFmtId="0" fontId="76" fillId="17" borderId="0" xfId="4" applyFont="1" applyFill="1" applyAlignment="1">
      <alignment horizontal="left" vertical="center" wrapText="1"/>
    </xf>
    <xf numFmtId="0" fontId="76" fillId="17" borderId="14" xfId="4" applyFont="1" applyFill="1" applyBorder="1" applyAlignment="1">
      <alignment horizontal="left" vertical="center" wrapText="1"/>
    </xf>
    <xf numFmtId="0" fontId="76" fillId="17" borderId="15" xfId="4" applyFont="1" applyFill="1" applyBorder="1" applyAlignment="1">
      <alignment horizontal="left" vertical="center" wrapText="1"/>
    </xf>
    <xf numFmtId="0" fontId="76" fillId="17" borderId="16" xfId="4" applyFont="1" applyFill="1" applyBorder="1" applyAlignment="1">
      <alignment horizontal="left" vertical="center" wrapText="1"/>
    </xf>
    <xf numFmtId="0" fontId="76" fillId="17" borderId="17" xfId="4" applyFont="1" applyFill="1" applyBorder="1" applyAlignment="1">
      <alignment horizontal="left" vertical="center" wrapText="1"/>
    </xf>
    <xf numFmtId="0" fontId="71" fillId="0" borderId="21" xfId="4" applyFont="1" applyBorder="1" applyAlignment="1">
      <alignment horizontal="center" vertical="center"/>
    </xf>
    <xf numFmtId="0" fontId="71" fillId="0" borderId="45" xfId="4" applyFont="1" applyBorder="1" applyAlignment="1">
      <alignment horizontal="center" vertical="center"/>
    </xf>
    <xf numFmtId="0" fontId="71" fillId="0" borderId="69" xfId="4" applyFont="1" applyBorder="1" applyAlignment="1">
      <alignment horizontal="center" vertical="center"/>
    </xf>
    <xf numFmtId="0" fontId="71" fillId="0" borderId="59" xfId="4" applyFont="1" applyBorder="1" applyAlignment="1">
      <alignment horizontal="center" vertical="center"/>
    </xf>
    <xf numFmtId="0" fontId="77" fillId="0" borderId="10" xfId="4" applyFont="1" applyBorder="1" applyAlignment="1">
      <alignment horizontal="center" vertical="center" wrapText="1"/>
    </xf>
    <xf numFmtId="0" fontId="77" fillId="0" borderId="15" xfId="4" applyFont="1" applyBorder="1" applyAlignment="1">
      <alignment horizontal="center" vertical="center"/>
    </xf>
    <xf numFmtId="0" fontId="72" fillId="0" borderId="65" xfId="4" applyFont="1" applyBorder="1" applyAlignment="1">
      <alignment horizontal="center" vertical="center"/>
    </xf>
    <xf numFmtId="0" fontId="72" fillId="0" borderId="8" xfId="4" applyFont="1" applyBorder="1" applyAlignment="1">
      <alignment horizontal="center" vertical="center"/>
    </xf>
    <xf numFmtId="0" fontId="72" fillId="0" borderId="43" xfId="4" applyFont="1" applyBorder="1" applyAlignment="1">
      <alignment horizontal="center" vertical="center"/>
    </xf>
    <xf numFmtId="0" fontId="72" fillId="0" borderId="24" xfId="4" applyFont="1" applyBorder="1" applyAlignment="1">
      <alignment horizontal="center" vertical="center"/>
    </xf>
    <xf numFmtId="0" fontId="72" fillId="0" borderId="1" xfId="4" applyFont="1" applyBorder="1" applyAlignment="1">
      <alignment horizontal="center" vertical="center"/>
    </xf>
    <xf numFmtId="0" fontId="72" fillId="0" borderId="5" xfId="4" applyFont="1" applyBorder="1" applyAlignment="1">
      <alignment horizontal="center" vertical="center"/>
    </xf>
    <xf numFmtId="0" fontId="72" fillId="0" borderId="25" xfId="4" applyFont="1" applyBorder="1" applyAlignment="1">
      <alignment horizontal="center" vertical="center"/>
    </xf>
    <xf numFmtId="0" fontId="72" fillId="0" borderId="9" xfId="4" applyFont="1" applyBorder="1" applyAlignment="1">
      <alignment horizontal="center" vertical="center"/>
    </xf>
    <xf numFmtId="0" fontId="72" fillId="0" borderId="79" xfId="4" applyFont="1" applyBorder="1" applyAlignment="1">
      <alignment horizontal="center" vertical="center"/>
    </xf>
    <xf numFmtId="0" fontId="79" fillId="0" borderId="80" xfId="4" applyFont="1" applyBorder="1" applyAlignment="1">
      <alignment horizontal="center" vertical="center"/>
    </xf>
    <xf numFmtId="0" fontId="79" fillId="0" borderId="44" xfId="4" applyFont="1" applyBorder="1" applyAlignment="1">
      <alignment horizontal="center" vertical="center"/>
    </xf>
    <xf numFmtId="0" fontId="79" fillId="0" borderId="78" xfId="4" applyFont="1" applyBorder="1" applyAlignment="1">
      <alignment horizontal="center" vertical="center"/>
    </xf>
    <xf numFmtId="0" fontId="19" fillId="0" borderId="1" xfId="4" applyBorder="1" applyAlignment="1">
      <alignment vertical="center" wrapText="1"/>
    </xf>
    <xf numFmtId="0" fontId="19" fillId="0" borderId="9" xfId="4" applyBorder="1" applyAlignment="1">
      <alignment vertical="center" wrapText="1"/>
    </xf>
    <xf numFmtId="0" fontId="19" fillId="0" borderId="30" xfId="4" applyBorder="1" applyAlignment="1">
      <alignment vertical="center" wrapText="1"/>
    </xf>
    <xf numFmtId="0" fontId="19" fillId="0" borderId="31" xfId="4" applyBorder="1" applyAlignment="1">
      <alignment vertical="center" wrapText="1"/>
    </xf>
    <xf numFmtId="0" fontId="71" fillId="0" borderId="24" xfId="4" applyFont="1" applyBorder="1" applyAlignment="1">
      <alignment horizontal="center" vertical="center"/>
    </xf>
    <xf numFmtId="0" fontId="71" fillId="0" borderId="30" xfId="4" applyFont="1" applyBorder="1" applyAlignment="1">
      <alignment horizontal="center" vertical="center"/>
    </xf>
    <xf numFmtId="0" fontId="71" fillId="0" borderId="25" xfId="4" applyFont="1" applyBorder="1" applyAlignment="1">
      <alignment horizontal="center" vertical="center"/>
    </xf>
    <xf numFmtId="0" fontId="71" fillId="0" borderId="31" xfId="4" applyFont="1" applyBorder="1" applyAlignment="1">
      <alignment horizontal="center" vertical="center"/>
    </xf>
    <xf numFmtId="0" fontId="71" fillId="0" borderId="65" xfId="4" applyFont="1" applyBorder="1" applyAlignment="1">
      <alignment horizontal="center" vertical="center"/>
    </xf>
    <xf numFmtId="0" fontId="71" fillId="0" borderId="28" xfId="4" applyFont="1" applyBorder="1" applyAlignment="1">
      <alignment horizontal="center" vertical="center"/>
    </xf>
    <xf numFmtId="0" fontId="6" fillId="0" borderId="1" xfId="4" applyFont="1" applyBorder="1" applyAlignment="1">
      <alignment horizontal="left" vertical="center" wrapText="1"/>
    </xf>
    <xf numFmtId="0" fontId="6" fillId="0" borderId="9" xfId="4" applyFont="1" applyBorder="1" applyAlignment="1">
      <alignment horizontal="left" vertical="center" wrapText="1"/>
    </xf>
    <xf numFmtId="0" fontId="72" fillId="0" borderId="28" xfId="4" applyFont="1" applyBorder="1" applyAlignment="1">
      <alignment horizontal="center" vertical="center"/>
    </xf>
    <xf numFmtId="0" fontId="72" fillId="0" borderId="13" xfId="4" applyFont="1" applyBorder="1" applyAlignment="1">
      <alignment horizontal="center" vertical="center"/>
    </xf>
    <xf numFmtId="0" fontId="72" fillId="0" borderId="15" xfId="4" applyFont="1" applyBorder="1" applyAlignment="1">
      <alignment horizontal="center" vertical="center"/>
    </xf>
    <xf numFmtId="0" fontId="6" fillId="0" borderId="4" xfId="4" applyFont="1" applyBorder="1" applyAlignment="1">
      <alignment horizontal="left" vertical="center" wrapText="1"/>
    </xf>
    <xf numFmtId="0" fontId="6" fillId="0" borderId="20" xfId="4" applyFont="1" applyBorder="1" applyAlignment="1">
      <alignment horizontal="left" vertical="center" wrapText="1"/>
    </xf>
    <xf numFmtId="0" fontId="6" fillId="0" borderId="81" xfId="4" applyFont="1" applyBorder="1" applyAlignment="1">
      <alignment horizontal="left" vertical="center" wrapText="1"/>
    </xf>
    <xf numFmtId="0" fontId="6" fillId="0" borderId="67" xfId="4" applyFont="1" applyBorder="1" applyAlignment="1">
      <alignment horizontal="left" vertical="center" wrapText="1"/>
    </xf>
    <xf numFmtId="0" fontId="6" fillId="0" borderId="16" xfId="4" applyFont="1" applyBorder="1" applyAlignment="1">
      <alignment horizontal="left" vertical="center" wrapText="1"/>
    </xf>
    <xf numFmtId="0" fontId="6" fillId="0" borderId="17" xfId="4" applyFont="1" applyBorder="1" applyAlignment="1">
      <alignment horizontal="left" vertical="center" wrapText="1"/>
    </xf>
    <xf numFmtId="0" fontId="73" fillId="0" borderId="82" xfId="4" applyFont="1" applyBorder="1" applyAlignment="1">
      <alignment horizontal="center"/>
    </xf>
    <xf numFmtId="0" fontId="73" fillId="0" borderId="60" xfId="4" applyFont="1" applyBorder="1" applyAlignment="1">
      <alignment horizontal="center"/>
    </xf>
    <xf numFmtId="0" fontId="73" fillId="0" borderId="87" xfId="4" applyFont="1" applyBorder="1" applyAlignment="1">
      <alignment horizontal="center"/>
    </xf>
    <xf numFmtId="0" fontId="73" fillId="0" borderId="83" xfId="4" applyFont="1" applyBorder="1" applyAlignment="1">
      <alignment horizontal="center"/>
    </xf>
    <xf numFmtId="0" fontId="73" fillId="0" borderId="84" xfId="4" applyFont="1" applyBorder="1" applyAlignment="1">
      <alignment horizontal="center"/>
    </xf>
    <xf numFmtId="0" fontId="73" fillId="0" borderId="85" xfId="4" applyFont="1" applyBorder="1" applyAlignment="1">
      <alignment horizontal="center"/>
    </xf>
    <xf numFmtId="0" fontId="73" fillId="0" borderId="86" xfId="4" applyFont="1" applyBorder="1" applyAlignment="1">
      <alignment horizontal="center"/>
    </xf>
    <xf numFmtId="0" fontId="19" fillId="0" borderId="84" xfId="4" applyBorder="1" applyAlignment="1">
      <alignment horizontal="center" vertical="center"/>
    </xf>
    <xf numFmtId="0" fontId="19" fillId="0" borderId="86" xfId="4" applyBorder="1" applyAlignment="1">
      <alignment horizontal="center" vertical="center"/>
    </xf>
    <xf numFmtId="0" fontId="66" fillId="19" borderId="10" xfId="4" applyFont="1" applyFill="1" applyBorder="1" applyAlignment="1">
      <alignment horizontal="center" vertical="center"/>
    </xf>
    <xf numFmtId="0" fontId="66" fillId="19" borderId="11" xfId="4" applyFont="1" applyFill="1" applyBorder="1" applyAlignment="1">
      <alignment horizontal="center" vertical="center"/>
    </xf>
    <xf numFmtId="0" fontId="66" fillId="19" borderId="13" xfId="4" applyFont="1" applyFill="1" applyBorder="1" applyAlignment="1">
      <alignment horizontal="center" vertical="center"/>
    </xf>
    <xf numFmtId="0" fontId="66" fillId="19" borderId="14" xfId="4" applyFont="1" applyFill="1" applyBorder="1" applyAlignment="1">
      <alignment horizontal="center" vertical="center"/>
    </xf>
    <xf numFmtId="0" fontId="66" fillId="19" borderId="15" xfId="4" applyFont="1" applyFill="1" applyBorder="1" applyAlignment="1">
      <alignment horizontal="center" vertical="center"/>
    </xf>
    <xf numFmtId="0" fontId="66" fillId="19" borderId="17" xfId="4" applyFont="1" applyFill="1" applyBorder="1" applyAlignment="1">
      <alignment horizontal="center" vertical="center"/>
    </xf>
    <xf numFmtId="0" fontId="19" fillId="0" borderId="10" xfId="4" applyBorder="1" applyAlignment="1">
      <alignment horizontal="center" vertical="center"/>
    </xf>
    <xf numFmtId="0" fontId="19" fillId="0" borderId="11" xfId="4" applyBorder="1" applyAlignment="1">
      <alignment horizontal="center" vertical="center"/>
    </xf>
    <xf numFmtId="10" fontId="19" fillId="0" borderId="69" xfId="18" applyNumberFormat="1" applyFont="1" applyFill="1" applyBorder="1" applyAlignment="1">
      <alignment horizontal="center" vertical="center"/>
    </xf>
    <xf numFmtId="10" fontId="19" fillId="0" borderId="61" xfId="18" applyNumberFormat="1" applyFont="1" applyFill="1" applyBorder="1" applyAlignment="1">
      <alignment horizontal="center" vertical="center"/>
    </xf>
    <xf numFmtId="10" fontId="19" fillId="0" borderId="32" xfId="18" applyNumberFormat="1" applyFont="1" applyFill="1" applyBorder="1" applyAlignment="1">
      <alignment horizontal="center" vertical="center"/>
    </xf>
    <xf numFmtId="3" fontId="0" fillId="0" borderId="56" xfId="0" applyNumberFormat="1" applyBorder="1" applyAlignment="1">
      <alignment horizontal="center" vertical="center"/>
    </xf>
    <xf numFmtId="3" fontId="0" fillId="0" borderId="88" xfId="0" applyNumberFormat="1" applyBorder="1" applyAlignment="1">
      <alignment horizontal="center" vertical="center"/>
    </xf>
    <xf numFmtId="3" fontId="0" fillId="0" borderId="55" xfId="0" applyNumberFormat="1" applyBorder="1" applyAlignment="1">
      <alignment horizontal="center" vertical="center"/>
    </xf>
    <xf numFmtId="10" fontId="0" fillId="0" borderId="56" xfId="2" applyNumberFormat="1" applyFont="1" applyBorder="1" applyAlignment="1">
      <alignment horizontal="center" vertical="center"/>
    </xf>
    <xf numFmtId="10" fontId="0" fillId="0" borderId="88" xfId="2" applyNumberFormat="1" applyFont="1" applyBorder="1" applyAlignment="1">
      <alignment horizontal="center" vertical="center"/>
    </xf>
    <xf numFmtId="10" fontId="0" fillId="0" borderId="55" xfId="2" applyNumberFormat="1" applyFont="1" applyBorder="1" applyAlignment="1">
      <alignment horizontal="center" vertical="center"/>
    </xf>
    <xf numFmtId="0" fontId="19" fillId="0" borderId="8" xfId="4" applyBorder="1" applyAlignment="1">
      <alignment horizontal="center" vertical="center"/>
    </xf>
    <xf numFmtId="10" fontId="19" fillId="0" borderId="79" xfId="18" applyNumberFormat="1" applyFont="1" applyFill="1" applyBorder="1" applyAlignment="1">
      <alignment horizontal="center" vertical="center"/>
    </xf>
    <xf numFmtId="10" fontId="19" fillId="0" borderId="59" xfId="18" applyNumberFormat="1" applyFont="1" applyFill="1" applyBorder="1" applyAlignment="1">
      <alignment horizontal="center" vertical="center"/>
    </xf>
    <xf numFmtId="0" fontId="19" fillId="0" borderId="28" xfId="4" applyBorder="1" applyAlignment="1">
      <alignment horizontal="center" vertical="center"/>
    </xf>
    <xf numFmtId="2" fontId="0" fillId="0" borderId="66" xfId="0" applyNumberFormat="1" applyBorder="1" applyAlignment="1">
      <alignment horizontal="center" vertical="center"/>
    </xf>
    <xf numFmtId="2" fontId="0" fillId="0" borderId="57" xfId="0" applyNumberFormat="1" applyBorder="1" applyAlignment="1">
      <alignment horizontal="center" vertical="center"/>
    </xf>
    <xf numFmtId="2" fontId="0" fillId="0" borderId="58" xfId="0" applyNumberFormat="1" applyBorder="1" applyAlignment="1">
      <alignment horizontal="center" vertical="center"/>
    </xf>
    <xf numFmtId="10" fontId="0" fillId="0" borderId="24" xfId="12" applyNumberFormat="1" applyFont="1" applyBorder="1" applyAlignment="1">
      <alignment horizontal="center" vertical="center"/>
    </xf>
    <xf numFmtId="10" fontId="0" fillId="0" borderId="1" xfId="12" applyNumberFormat="1" applyFont="1" applyBorder="1" applyAlignment="1">
      <alignment horizontal="center" vertical="center"/>
    </xf>
    <xf numFmtId="10" fontId="0" fillId="0" borderId="30" xfId="12" applyNumberFormat="1" applyFont="1" applyBorder="1" applyAlignment="1">
      <alignment horizontal="center" vertical="center"/>
    </xf>
    <xf numFmtId="2" fontId="0" fillId="0" borderId="25" xfId="0" applyNumberFormat="1" applyBorder="1" applyAlignment="1">
      <alignment horizontal="center" vertical="center"/>
    </xf>
    <xf numFmtId="2" fontId="0" fillId="0" borderId="9" xfId="0" applyNumberFormat="1" applyBorder="1" applyAlignment="1">
      <alignment horizontal="center" vertical="center"/>
    </xf>
    <xf numFmtId="2" fontId="0" fillId="0" borderId="31" xfId="0" applyNumberFormat="1" applyBorder="1" applyAlignment="1">
      <alignment horizontal="center" vertical="center"/>
    </xf>
    <xf numFmtId="0" fontId="19" fillId="0" borderId="65" xfId="4" applyBorder="1" applyAlignment="1">
      <alignment horizontal="center" vertical="center"/>
    </xf>
    <xf numFmtId="0" fontId="66" fillId="20" borderId="10" xfId="4" applyFont="1" applyFill="1" applyBorder="1" applyAlignment="1">
      <alignment horizontal="center" vertical="center"/>
    </xf>
    <xf numFmtId="0" fontId="66" fillId="20" borderId="11" xfId="4" applyFont="1" applyFill="1" applyBorder="1" applyAlignment="1">
      <alignment horizontal="center" vertical="center"/>
    </xf>
    <xf numFmtId="0" fontId="66" fillId="20" borderId="13" xfId="4" applyFont="1" applyFill="1" applyBorder="1" applyAlignment="1">
      <alignment horizontal="center" vertical="center"/>
    </xf>
    <xf numFmtId="0" fontId="66" fillId="20" borderId="14" xfId="4" applyFont="1" applyFill="1" applyBorder="1" applyAlignment="1">
      <alignment horizontal="center" vertical="center"/>
    </xf>
    <xf numFmtId="0" fontId="66" fillId="20" borderId="15" xfId="4" applyFont="1" applyFill="1" applyBorder="1" applyAlignment="1">
      <alignment horizontal="center" vertical="center"/>
    </xf>
    <xf numFmtId="0" fontId="66" fillId="20" borderId="17" xfId="4" applyFont="1" applyFill="1" applyBorder="1" applyAlignment="1">
      <alignment horizontal="center" vertical="center"/>
    </xf>
    <xf numFmtId="2" fontId="19" fillId="0" borderId="69" xfId="4" applyNumberFormat="1" applyBorder="1" applyAlignment="1">
      <alignment horizontal="center" vertical="center"/>
    </xf>
    <xf numFmtId="2" fontId="19" fillId="0" borderId="61" xfId="4" applyNumberFormat="1" applyBorder="1" applyAlignment="1">
      <alignment horizontal="center" vertical="center"/>
    </xf>
    <xf numFmtId="2" fontId="19" fillId="0" borderId="59" xfId="4" applyNumberFormat="1" applyBorder="1" applyAlignment="1">
      <alignment horizontal="center" vertical="center"/>
    </xf>
    <xf numFmtId="0" fontId="19" fillId="0" borderId="21" xfId="4" applyBorder="1" applyAlignment="1">
      <alignment horizontal="center" vertical="center"/>
    </xf>
    <xf numFmtId="0" fontId="19" fillId="0" borderId="62" xfId="4" applyBorder="1" applyAlignment="1">
      <alignment horizontal="center" vertical="center"/>
    </xf>
    <xf numFmtId="0" fontId="19" fillId="0" borderId="26" xfId="4" applyBorder="1" applyAlignment="1">
      <alignment horizontal="center" vertical="center"/>
    </xf>
    <xf numFmtId="10" fontId="0" fillId="0" borderId="66" xfId="18" applyNumberFormat="1" applyFont="1" applyBorder="1" applyAlignment="1">
      <alignment horizontal="center" vertical="center"/>
    </xf>
    <xf numFmtId="10" fontId="0" fillId="0" borderId="57" xfId="18" applyNumberFormat="1" applyFont="1" applyBorder="1" applyAlignment="1">
      <alignment horizontal="center" vertical="center"/>
    </xf>
    <xf numFmtId="10" fontId="0" fillId="0" borderId="58" xfId="18" applyNumberFormat="1" applyFont="1" applyBorder="1" applyAlignment="1">
      <alignment horizontal="center" vertical="center"/>
    </xf>
    <xf numFmtId="2" fontId="0" fillId="0" borderId="66" xfId="18" applyNumberFormat="1" applyFont="1" applyBorder="1" applyAlignment="1">
      <alignment horizontal="center" vertical="center"/>
    </xf>
    <xf numFmtId="2" fontId="0" fillId="0" borderId="57" xfId="18" applyNumberFormat="1" applyFont="1" applyBorder="1" applyAlignment="1">
      <alignment horizontal="center" vertical="center"/>
    </xf>
    <xf numFmtId="2" fontId="0" fillId="0" borderId="58" xfId="18" applyNumberFormat="1" applyFont="1" applyBorder="1" applyAlignment="1">
      <alignment horizontal="center" vertical="center"/>
    </xf>
    <xf numFmtId="3" fontId="19" fillId="0" borderId="21" xfId="4" applyNumberFormat="1" applyBorder="1" applyAlignment="1">
      <alignment horizontal="center" vertical="center"/>
    </xf>
    <xf numFmtId="3" fontId="19" fillId="0" borderId="62" xfId="4" applyNumberFormat="1" applyBorder="1" applyAlignment="1">
      <alignment horizontal="center" vertical="center"/>
    </xf>
    <xf numFmtId="3" fontId="19" fillId="0" borderId="45" xfId="4" applyNumberFormat="1" applyBorder="1" applyAlignment="1">
      <alignment horizontal="center" vertical="center"/>
    </xf>
    <xf numFmtId="10" fontId="0" fillId="0" borderId="69" xfId="18" applyNumberFormat="1" applyFont="1" applyBorder="1" applyAlignment="1">
      <alignment horizontal="center" vertical="center"/>
    </xf>
    <xf numFmtId="10" fontId="0" fillId="0" borderId="61" xfId="18" applyNumberFormat="1" applyFont="1" applyBorder="1" applyAlignment="1">
      <alignment horizontal="center" vertical="center"/>
    </xf>
    <xf numFmtId="10" fontId="0" fillId="0" borderId="59" xfId="18" applyNumberFormat="1" applyFont="1" applyBorder="1" applyAlignment="1">
      <alignment horizontal="center" vertical="center"/>
    </xf>
    <xf numFmtId="0" fontId="66" fillId="21" borderId="10" xfId="4" applyFont="1" applyFill="1" applyBorder="1" applyAlignment="1">
      <alignment horizontal="center" vertical="center"/>
    </xf>
    <xf numFmtId="0" fontId="66" fillId="21" borderId="11" xfId="4" applyFont="1" applyFill="1" applyBorder="1" applyAlignment="1">
      <alignment horizontal="center" vertical="center"/>
    </xf>
    <xf numFmtId="0" fontId="66" fillId="21" borderId="13" xfId="4" applyFont="1" applyFill="1" applyBorder="1" applyAlignment="1">
      <alignment horizontal="center" vertical="center"/>
    </xf>
    <xf numFmtId="0" fontId="66" fillId="21" borderId="0" xfId="4" applyFont="1" applyFill="1" applyAlignment="1">
      <alignment horizontal="center" vertical="center"/>
    </xf>
    <xf numFmtId="0" fontId="66" fillId="21" borderId="15" xfId="4" applyFont="1" applyFill="1" applyBorder="1" applyAlignment="1">
      <alignment horizontal="center" vertical="center"/>
    </xf>
    <xf numFmtId="0" fontId="66" fillId="21" borderId="16" xfId="4" applyFont="1" applyFill="1" applyBorder="1" applyAlignment="1">
      <alignment horizontal="center" vertical="center"/>
    </xf>
    <xf numFmtId="3" fontId="0" fillId="0" borderId="24" xfId="0" applyNumberFormat="1" applyBorder="1" applyAlignment="1">
      <alignment horizontal="center" vertical="center"/>
    </xf>
    <xf numFmtId="3" fontId="0" fillId="0" borderId="1" xfId="0" applyNumberFormat="1" applyBorder="1" applyAlignment="1">
      <alignment horizontal="center" vertical="center"/>
    </xf>
    <xf numFmtId="3" fontId="0" fillId="0" borderId="30" xfId="0" applyNumberFormat="1" applyBorder="1" applyAlignment="1">
      <alignment horizontal="center" vertical="center"/>
    </xf>
    <xf numFmtId="0" fontId="66" fillId="21" borderId="14" xfId="4" applyFont="1" applyFill="1" applyBorder="1" applyAlignment="1">
      <alignment horizontal="center" vertical="center"/>
    </xf>
    <xf numFmtId="0" fontId="66" fillId="21" borderId="17" xfId="4" applyFont="1" applyFill="1" applyBorder="1" applyAlignment="1">
      <alignment horizontal="center" vertical="center"/>
    </xf>
    <xf numFmtId="0" fontId="73" fillId="13" borderId="82" xfId="20" applyFont="1" applyFill="1" applyBorder="1" applyAlignment="1">
      <alignment horizontal="left"/>
    </xf>
    <xf numFmtId="0" fontId="73" fillId="13" borderId="83" xfId="20" applyFont="1" applyFill="1" applyBorder="1" applyAlignment="1">
      <alignment horizontal="left"/>
    </xf>
    <xf numFmtId="0" fontId="54" fillId="0" borderId="26" xfId="20" applyBorder="1" applyAlignment="1">
      <alignment horizontal="left"/>
    </xf>
    <xf numFmtId="0" fontId="54" fillId="0" borderId="32" xfId="20" applyBorder="1" applyAlignment="1">
      <alignment horizontal="left"/>
    </xf>
    <xf numFmtId="0" fontId="85" fillId="22" borderId="8" xfId="20" applyFont="1" applyFill="1" applyBorder="1" applyAlignment="1">
      <alignment horizontal="center" vertical="center" wrapText="1"/>
    </xf>
    <xf numFmtId="0" fontId="85" fillId="22" borderId="1" xfId="20" applyFont="1" applyFill="1" applyBorder="1" applyAlignment="1">
      <alignment horizontal="center" vertical="center" wrapText="1"/>
    </xf>
    <xf numFmtId="0" fontId="85" fillId="22" borderId="9" xfId="20" applyFont="1" applyFill="1" applyBorder="1" applyAlignment="1">
      <alignment horizontal="center" vertical="center" wrapText="1"/>
    </xf>
    <xf numFmtId="49" fontId="84" fillId="17" borderId="65" xfId="20" applyNumberFormat="1" applyFont="1" applyFill="1" applyBorder="1" applyAlignment="1">
      <alignment horizontal="center" vertical="center" wrapText="1"/>
    </xf>
    <xf numFmtId="49" fontId="84" fillId="17" borderId="43" xfId="20" applyNumberFormat="1" applyFont="1" applyFill="1" applyBorder="1" applyAlignment="1">
      <alignment horizontal="center" vertical="center" wrapText="1"/>
    </xf>
    <xf numFmtId="0" fontId="84" fillId="17" borderId="24" xfId="20" applyFont="1" applyFill="1" applyBorder="1" applyAlignment="1">
      <alignment horizontal="center" vertical="center" wrapText="1"/>
    </xf>
    <xf numFmtId="0" fontId="84" fillId="17" borderId="5" xfId="20" applyFont="1" applyFill="1" applyBorder="1" applyAlignment="1">
      <alignment horizontal="center" vertical="center" wrapText="1"/>
    </xf>
    <xf numFmtId="0" fontId="85" fillId="22" borderId="65" xfId="23" applyFont="1" applyFill="1" applyBorder="1" applyAlignment="1">
      <alignment horizontal="center" vertical="center" wrapText="1"/>
    </xf>
    <xf numFmtId="0" fontId="85" fillId="22" borderId="24" xfId="23" applyFont="1" applyFill="1" applyBorder="1" applyAlignment="1">
      <alignment horizontal="center" vertical="center" wrapText="1"/>
    </xf>
    <xf numFmtId="0" fontId="85" fillId="22" borderId="25" xfId="23" applyFont="1" applyFill="1" applyBorder="1" applyAlignment="1">
      <alignment horizontal="center" vertical="center" wrapText="1"/>
    </xf>
    <xf numFmtId="0" fontId="84" fillId="17" borderId="25" xfId="20" applyFont="1" applyFill="1" applyBorder="1" applyAlignment="1">
      <alignment horizontal="center" vertical="center" wrapText="1"/>
    </xf>
    <xf numFmtId="0" fontId="84" fillId="17" borderId="79" xfId="20" applyFont="1" applyFill="1" applyBorder="1" applyAlignment="1">
      <alignment horizontal="center" vertical="center" wrapText="1"/>
    </xf>
    <xf numFmtId="0" fontId="54" fillId="0" borderId="8" xfId="20" applyBorder="1" applyAlignment="1">
      <alignment horizontal="left"/>
    </xf>
    <xf numFmtId="0" fontId="54" fillId="0" borderId="9" xfId="20" applyBorder="1" applyAlignment="1">
      <alignment horizontal="left"/>
    </xf>
    <xf numFmtId="0" fontId="91" fillId="0" borderId="12" xfId="20" applyFont="1" applyBorder="1" applyAlignment="1">
      <alignment horizontal="left" vertical="top" wrapText="1"/>
    </xf>
    <xf numFmtId="0" fontId="54" fillId="0" borderId="0" xfId="20" applyAlignment="1">
      <alignment horizontal="center"/>
    </xf>
    <xf numFmtId="0" fontId="54" fillId="0" borderId="28" xfId="20" applyBorder="1" applyAlignment="1">
      <alignment horizontal="left"/>
    </xf>
    <xf numFmtId="0" fontId="54" fillId="0" borderId="31" xfId="20" applyBorder="1" applyAlignment="1">
      <alignment horizontal="left"/>
    </xf>
    <xf numFmtId="0" fontId="66" fillId="0" borderId="84" xfId="20" applyFont="1" applyBorder="1" applyAlignment="1">
      <alignment horizontal="center"/>
    </xf>
    <xf numFmtId="0" fontId="66" fillId="0" borderId="85" xfId="20" applyFont="1" applyBorder="1" applyAlignment="1">
      <alignment horizontal="center"/>
    </xf>
    <xf numFmtId="0" fontId="66" fillId="0" borderId="86" xfId="20" applyFont="1" applyBorder="1" applyAlignment="1">
      <alignment horizontal="center"/>
    </xf>
    <xf numFmtId="0" fontId="91" fillId="0" borderId="0" xfId="20" applyFont="1" applyAlignment="1">
      <alignment horizontal="left" vertical="top" wrapText="1"/>
    </xf>
    <xf numFmtId="0" fontId="73" fillId="13" borderId="10" xfId="20" applyFont="1" applyFill="1" applyBorder="1" applyAlignment="1">
      <alignment horizontal="left"/>
    </xf>
    <xf numFmtId="0" fontId="73" fillId="13" borderId="12" xfId="20" applyFont="1" applyFill="1" applyBorder="1" applyAlignment="1">
      <alignment horizontal="left"/>
    </xf>
    <xf numFmtId="0" fontId="73" fillId="13" borderId="11" xfId="20" applyFont="1" applyFill="1" applyBorder="1" applyAlignment="1">
      <alignment horizontal="left"/>
    </xf>
    <xf numFmtId="0" fontId="54" fillId="0" borderId="65" xfId="20" applyBorder="1" applyAlignment="1">
      <alignment horizontal="left"/>
    </xf>
    <xf numFmtId="0" fontId="54" fillId="0" borderId="24" xfId="20" applyBorder="1" applyAlignment="1">
      <alignment horizontal="left"/>
    </xf>
    <xf numFmtId="0" fontId="54" fillId="0" borderId="25" xfId="20" applyBorder="1" applyAlignment="1">
      <alignment horizontal="left"/>
    </xf>
    <xf numFmtId="0" fontId="54" fillId="0" borderId="8" xfId="20" applyBorder="1" applyAlignment="1">
      <alignment horizontal="left" wrapText="1"/>
    </xf>
    <xf numFmtId="0" fontId="54" fillId="0" borderId="1" xfId="20" applyBorder="1" applyAlignment="1">
      <alignment horizontal="left" wrapText="1"/>
    </xf>
    <xf numFmtId="0" fontId="54" fillId="0" borderId="9" xfId="20" applyBorder="1" applyAlignment="1">
      <alignment horizontal="left" wrapText="1"/>
    </xf>
    <xf numFmtId="0" fontId="54" fillId="0" borderId="8" xfId="20" applyBorder="1" applyAlignment="1">
      <alignment horizontal="left" vertical="center" wrapText="1"/>
    </xf>
    <xf numFmtId="0" fontId="54" fillId="0" borderId="1" xfId="20" applyBorder="1" applyAlignment="1">
      <alignment horizontal="left" vertical="center" wrapText="1"/>
    </xf>
    <xf numFmtId="0" fontId="54" fillId="0" borderId="9" xfId="20" applyBorder="1" applyAlignment="1">
      <alignment horizontal="left" vertical="center" wrapText="1"/>
    </xf>
    <xf numFmtId="0" fontId="93" fillId="0" borderId="7" xfId="21" applyFont="1" applyBorder="1" applyAlignment="1">
      <alignment horizontal="left" vertical="top" wrapText="1"/>
    </xf>
    <xf numFmtId="0" fontId="93" fillId="0" borderId="9" xfId="21" applyFont="1" applyBorder="1" applyAlignment="1">
      <alignment horizontal="left" vertical="top" wrapText="1"/>
    </xf>
    <xf numFmtId="0" fontId="79" fillId="3" borderId="84" xfId="4" applyFont="1" applyFill="1" applyBorder="1" applyAlignment="1">
      <alignment horizontal="left" vertical="center"/>
    </xf>
    <xf numFmtId="0" fontId="79" fillId="3" borderId="85" xfId="4" applyFont="1" applyFill="1" applyBorder="1" applyAlignment="1">
      <alignment horizontal="left" vertical="center"/>
    </xf>
    <xf numFmtId="0" fontId="79" fillId="3" borderId="86" xfId="4" applyFont="1" applyFill="1" applyBorder="1" applyAlignment="1">
      <alignment horizontal="left" vertical="center"/>
    </xf>
    <xf numFmtId="0" fontId="92" fillId="0" borderId="82" xfId="21" applyFont="1" applyBorder="1" applyAlignment="1">
      <alignment horizontal="center" vertical="center" wrapText="1"/>
    </xf>
    <xf numFmtId="0" fontId="92" fillId="0" borderId="60" xfId="21" applyFont="1" applyBorder="1" applyAlignment="1">
      <alignment horizontal="center" vertical="center" wrapText="1"/>
    </xf>
    <xf numFmtId="0" fontId="92" fillId="0" borderId="83" xfId="21" applyFont="1" applyBorder="1" applyAlignment="1">
      <alignment horizontal="center" vertical="center" wrapText="1"/>
    </xf>
    <xf numFmtId="0" fontId="93" fillId="0" borderId="82" xfId="21" applyFont="1" applyBorder="1" applyAlignment="1">
      <alignment horizontal="left" wrapText="1"/>
    </xf>
    <xf numFmtId="0" fontId="93" fillId="0" borderId="60" xfId="21" applyFont="1" applyBorder="1" applyAlignment="1">
      <alignment horizontal="left" wrapText="1"/>
    </xf>
    <xf numFmtId="0" fontId="93" fillId="0" borderId="87" xfId="21" applyFont="1" applyBorder="1" applyAlignment="1">
      <alignment horizontal="left" wrapText="1"/>
    </xf>
    <xf numFmtId="0" fontId="93" fillId="0" borderId="50" xfId="21" applyFont="1" applyBorder="1" applyAlignment="1">
      <alignment horizontal="center" vertical="center" wrapText="1"/>
    </xf>
    <xf numFmtId="0" fontId="93" fillId="0" borderId="53" xfId="21" applyFont="1" applyBorder="1" applyAlignment="1">
      <alignment horizontal="center" vertical="center" wrapText="1"/>
    </xf>
    <xf numFmtId="0" fontId="93" fillId="0" borderId="51" xfId="21" applyFont="1" applyBorder="1" applyAlignment="1">
      <alignment horizontal="center" vertical="center" wrapText="1"/>
    </xf>
    <xf numFmtId="0" fontId="93" fillId="0" borderId="23" xfId="21" applyFont="1" applyBorder="1" applyAlignment="1">
      <alignment horizontal="left" vertical="top" wrapText="1"/>
    </xf>
    <xf numFmtId="0" fontId="93" fillId="0" borderId="25" xfId="21" applyFont="1" applyBorder="1" applyAlignment="1">
      <alignment horizontal="left" vertical="top" wrapText="1"/>
    </xf>
    <xf numFmtId="0" fontId="94" fillId="0" borderId="10" xfId="4" applyFont="1" applyBorder="1" applyAlignment="1">
      <alignment horizontal="center" vertical="center"/>
    </xf>
    <xf numFmtId="0" fontId="94" fillId="0" borderId="13" xfId="4" applyFont="1" applyBorder="1" applyAlignment="1">
      <alignment horizontal="center" vertical="center"/>
    </xf>
    <xf numFmtId="0" fontId="94" fillId="0" borderId="15" xfId="4" applyFont="1" applyBorder="1" applyAlignment="1">
      <alignment horizontal="center" vertical="center"/>
    </xf>
    <xf numFmtId="0" fontId="19" fillId="0" borderId="10" xfId="4" applyBorder="1" applyAlignment="1">
      <alignment horizontal="left" vertical="center" wrapText="1"/>
    </xf>
    <xf numFmtId="0" fontId="19" fillId="0" borderId="12" xfId="4" applyBorder="1" applyAlignment="1">
      <alignment horizontal="left" vertical="center" wrapText="1"/>
    </xf>
    <xf numFmtId="0" fontId="19" fillId="0" borderId="11" xfId="4" applyBorder="1" applyAlignment="1">
      <alignment horizontal="left" vertical="center" wrapText="1"/>
    </xf>
    <xf numFmtId="0" fontId="19" fillId="0" borderId="13" xfId="4" applyBorder="1" applyAlignment="1">
      <alignment horizontal="left" vertical="center" wrapText="1"/>
    </xf>
    <xf numFmtId="0" fontId="19" fillId="0" borderId="0" xfId="4" applyAlignment="1">
      <alignment horizontal="left" vertical="center" wrapText="1"/>
    </xf>
    <xf numFmtId="0" fontId="19" fillId="0" borderId="14" xfId="4" applyBorder="1" applyAlignment="1">
      <alignment horizontal="left" vertical="center" wrapText="1"/>
    </xf>
    <xf numFmtId="0" fontId="19" fillId="0" borderId="15" xfId="4" applyBorder="1" applyAlignment="1">
      <alignment horizontal="left" vertical="center" wrapText="1"/>
    </xf>
    <xf numFmtId="0" fontId="19" fillId="0" borderId="16" xfId="4" applyBorder="1" applyAlignment="1">
      <alignment horizontal="left" vertical="center" wrapText="1"/>
    </xf>
    <xf numFmtId="0" fontId="19" fillId="0" borderId="17" xfId="4" applyBorder="1" applyAlignment="1">
      <alignment horizontal="left" vertical="center" wrapText="1"/>
    </xf>
    <xf numFmtId="0" fontId="93" fillId="0" borderId="29" xfId="21" applyFont="1" applyBorder="1" applyAlignment="1">
      <alignment horizontal="left" vertical="top" wrapText="1"/>
    </xf>
    <xf numFmtId="0" fontId="93" fillId="0" borderId="31" xfId="21" applyFont="1" applyBorder="1" applyAlignment="1">
      <alignment horizontal="left" vertical="top" wrapText="1"/>
    </xf>
    <xf numFmtId="0" fontId="19" fillId="0" borderId="25" xfId="4" applyBorder="1" applyAlignment="1">
      <alignment horizontal="center" vertical="center"/>
    </xf>
    <xf numFmtId="0" fontId="79" fillId="0" borderId="10" xfId="4" applyFont="1" applyBorder="1" applyAlignment="1">
      <alignment horizontal="center" vertical="center" wrapText="1"/>
    </xf>
    <xf numFmtId="0" fontId="79" fillId="0" borderId="12" xfId="4" applyFont="1" applyBorder="1" applyAlignment="1">
      <alignment horizontal="center" vertical="center" wrapText="1"/>
    </xf>
    <xf numFmtId="0" fontId="79" fillId="0" borderId="11" xfId="4" applyFont="1" applyBorder="1" applyAlignment="1">
      <alignment horizontal="center" vertical="center" wrapText="1"/>
    </xf>
    <xf numFmtId="0" fontId="79" fillId="0" borderId="15" xfId="4" applyFont="1" applyBorder="1" applyAlignment="1">
      <alignment horizontal="center" vertical="center" wrapText="1"/>
    </xf>
    <xf numFmtId="0" fontId="79" fillId="0" borderId="16" xfId="4" applyFont="1" applyBorder="1" applyAlignment="1">
      <alignment horizontal="center" vertical="center" wrapText="1"/>
    </xf>
    <xf numFmtId="0" fontId="79" fillId="0" borderId="17" xfId="4" applyFont="1" applyBorder="1" applyAlignment="1">
      <alignment horizontal="center" vertical="center" wrapText="1"/>
    </xf>
    <xf numFmtId="0" fontId="19" fillId="0" borderId="31" xfId="4" applyBorder="1" applyAlignment="1">
      <alignment horizontal="center" vertical="center"/>
    </xf>
    <xf numFmtId="0" fontId="19" fillId="0" borderId="84" xfId="4" applyBorder="1" applyAlignment="1">
      <alignment horizontal="left" vertical="center"/>
    </xf>
    <xf numFmtId="0" fontId="19" fillId="0" borderId="85" xfId="4" applyBorder="1" applyAlignment="1">
      <alignment horizontal="left" vertical="center"/>
    </xf>
    <xf numFmtId="0" fontId="19" fillId="0" borderId="86" xfId="4" applyBorder="1" applyAlignment="1">
      <alignment horizontal="left" vertical="center"/>
    </xf>
    <xf numFmtId="0" fontId="93" fillId="0" borderId="8" xfId="22" applyFont="1" applyBorder="1" applyAlignment="1">
      <alignment horizontal="left" vertical="top" wrapText="1"/>
    </xf>
    <xf numFmtId="0" fontId="93" fillId="0" borderId="9" xfId="22" applyFont="1" applyBorder="1" applyAlignment="1">
      <alignment horizontal="left" vertical="top" wrapText="1"/>
    </xf>
    <xf numFmtId="0" fontId="92" fillId="0" borderId="82" xfId="22" applyFont="1" applyBorder="1" applyAlignment="1">
      <alignment horizontal="center" vertical="center" wrapText="1"/>
    </xf>
    <xf numFmtId="0" fontId="92" fillId="0" borderId="60" xfId="22" applyFont="1" applyBorder="1" applyAlignment="1">
      <alignment horizontal="center" vertical="center" wrapText="1"/>
    </xf>
    <xf numFmtId="0" fontId="92" fillId="0" borderId="83" xfId="22" applyFont="1" applyBorder="1" applyAlignment="1">
      <alignment horizontal="center" vertical="center" wrapText="1"/>
    </xf>
    <xf numFmtId="0" fontId="93" fillId="0" borderId="82" xfId="22" applyFont="1" applyBorder="1" applyAlignment="1">
      <alignment horizontal="left" wrapText="1"/>
    </xf>
    <xf numFmtId="0" fontId="93" fillId="0" borderId="60" xfId="22" applyFont="1" applyBorder="1" applyAlignment="1">
      <alignment horizontal="left" wrapText="1"/>
    </xf>
    <xf numFmtId="0" fontId="93" fillId="0" borderId="87" xfId="22" applyFont="1" applyBorder="1" applyAlignment="1">
      <alignment horizontal="left" wrapText="1"/>
    </xf>
    <xf numFmtId="0" fontId="93" fillId="0" borderId="50" xfId="22" applyFont="1" applyBorder="1" applyAlignment="1">
      <alignment horizontal="center" vertical="center" wrapText="1"/>
    </xf>
    <xf numFmtId="0" fontId="93" fillId="0" borderId="53" xfId="22" applyFont="1" applyBorder="1" applyAlignment="1">
      <alignment horizontal="center" vertical="center" wrapText="1"/>
    </xf>
    <xf numFmtId="0" fontId="93" fillId="0" borderId="51" xfId="22" applyFont="1" applyBorder="1" applyAlignment="1">
      <alignment horizontal="center" vertical="center" wrapText="1"/>
    </xf>
    <xf numFmtId="0" fontId="93" fillId="0" borderId="65" xfId="22" applyFont="1" applyBorder="1" applyAlignment="1">
      <alignment horizontal="left" vertical="top" wrapText="1"/>
    </xf>
    <xf numFmtId="0" fontId="93" fillId="0" borderId="25" xfId="22" applyFont="1" applyBorder="1" applyAlignment="1">
      <alignment horizontal="left" vertical="top" wrapText="1"/>
    </xf>
    <xf numFmtId="0" fontId="94" fillId="0" borderId="56" xfId="4" applyFont="1" applyBorder="1" applyAlignment="1">
      <alignment horizontal="center" vertical="center"/>
    </xf>
    <xf numFmtId="0" fontId="94" fillId="0" borderId="88" xfId="4" applyFont="1" applyBorder="1" applyAlignment="1">
      <alignment horizontal="center" vertical="center"/>
    </xf>
    <xf numFmtId="0" fontId="94" fillId="0" borderId="55" xfId="4" applyFont="1" applyBorder="1" applyAlignment="1">
      <alignment horizontal="center" vertical="center"/>
    </xf>
    <xf numFmtId="0" fontId="6" fillId="0" borderId="10" xfId="4" applyFont="1" applyBorder="1" applyAlignment="1">
      <alignment horizontal="left" vertical="center" wrapText="1"/>
    </xf>
    <xf numFmtId="0" fontId="6" fillId="0" borderId="12" xfId="4" applyFont="1" applyBorder="1" applyAlignment="1">
      <alignment horizontal="left" vertical="center" wrapText="1"/>
    </xf>
    <xf numFmtId="0" fontId="6" fillId="0" borderId="11" xfId="4" applyFont="1" applyBorder="1" applyAlignment="1">
      <alignment horizontal="left" vertical="center" wrapText="1"/>
    </xf>
    <xf numFmtId="0" fontId="6" fillId="0" borderId="13" xfId="4" applyFont="1" applyBorder="1" applyAlignment="1">
      <alignment horizontal="left" vertical="center" wrapText="1"/>
    </xf>
    <xf numFmtId="0" fontId="6" fillId="0" borderId="0" xfId="4" applyFont="1" applyAlignment="1">
      <alignment horizontal="left" vertical="center" wrapText="1"/>
    </xf>
    <xf numFmtId="0" fontId="6" fillId="0" borderId="14" xfId="4" applyFont="1" applyBorder="1" applyAlignment="1">
      <alignment horizontal="left" vertical="center" wrapText="1"/>
    </xf>
    <xf numFmtId="0" fontId="6" fillId="0" borderId="15" xfId="4" applyFont="1" applyBorder="1" applyAlignment="1">
      <alignment horizontal="left" vertical="center" wrapText="1"/>
    </xf>
    <xf numFmtId="0" fontId="93" fillId="0" borderId="28" xfId="22" applyFont="1" applyBorder="1" applyAlignment="1">
      <alignment horizontal="left" vertical="top" wrapText="1"/>
    </xf>
    <xf numFmtId="0" fontId="93" fillId="0" borderId="31" xfId="22" applyFont="1" applyBorder="1" applyAlignment="1">
      <alignment horizontal="left" vertical="top" wrapText="1"/>
    </xf>
    <xf numFmtId="0" fontId="19" fillId="0" borderId="65" xfId="4" applyBorder="1" applyAlignment="1">
      <alignment horizontal="center"/>
    </xf>
    <xf numFmtId="0" fontId="19" fillId="0" borderId="25" xfId="4" applyBorder="1" applyAlignment="1">
      <alignment horizontal="center"/>
    </xf>
    <xf numFmtId="0" fontId="19" fillId="0" borderId="28" xfId="4" applyBorder="1" applyAlignment="1">
      <alignment horizontal="center"/>
    </xf>
    <xf numFmtId="0" fontId="19" fillId="0" borderId="31" xfId="4" applyBorder="1" applyAlignment="1">
      <alignment horizontal="center"/>
    </xf>
    <xf numFmtId="0" fontId="6" fillId="0" borderId="84" xfId="4" applyFont="1" applyBorder="1" applyAlignment="1">
      <alignment horizontal="left" vertical="center"/>
    </xf>
    <xf numFmtId="0" fontId="6" fillId="0" borderId="85" xfId="4" applyFont="1" applyBorder="1" applyAlignment="1">
      <alignment horizontal="left" vertical="center"/>
    </xf>
    <xf numFmtId="0" fontId="6" fillId="0" borderId="86" xfId="4" applyFont="1" applyBorder="1" applyAlignment="1">
      <alignment horizontal="left" vertical="center"/>
    </xf>
    <xf numFmtId="0" fontId="106" fillId="0" borderId="0" xfId="8" applyFont="1" applyAlignment="1">
      <alignment horizontal="center" vertical="center"/>
    </xf>
    <xf numFmtId="0" fontId="108" fillId="0" borderId="0" xfId="8" applyFont="1" applyAlignment="1">
      <alignment horizontal="center" vertical="center"/>
    </xf>
  </cellXfs>
  <cellStyles count="24">
    <cellStyle name="Comma 2" xfId="13" xr:uid="{12435E1A-335E-6946-A3EB-58680FE5FEEE}"/>
    <cellStyle name="Normal 10" xfId="4" xr:uid="{00000000-0005-0000-0000-000000000000}"/>
    <cellStyle name="Normal 2" xfId="5" xr:uid="{630B5C27-FEFE-4C71-A250-585EB770FE14}"/>
    <cellStyle name="Normal 2 2" xfId="8" xr:uid="{6A801EF6-7E1D-F040-B09D-F507100EDF5D}"/>
    <cellStyle name="Normal 2 2 2" xfId="7" xr:uid="{0E002461-3A1B-455F-BE31-B16F0038E5D7}"/>
    <cellStyle name="Normal 2 3 4" xfId="11" xr:uid="{D886F98D-5829-F242-85B0-C4EB094F6F89}"/>
    <cellStyle name="Normal 3" xfId="9" xr:uid="{29AC11BC-2975-A641-B2AF-E4F99B808188}"/>
    <cellStyle name="Normal 3 2" xfId="23" xr:uid="{86360BB9-680F-C145-86CD-11B679170828}"/>
    <cellStyle name="Normal 4" xfId="14" xr:uid="{3E643A1C-295A-E745-B84C-B19C6822ACBE}"/>
    <cellStyle name="Normal 4 2" xfId="20" xr:uid="{4D314AEB-8EA0-334C-88CF-6A082F06FD8F}"/>
    <cellStyle name="Normal 5" xfId="15" xr:uid="{DEE3620C-C9CB-3A4B-8A77-B79083E69D02}"/>
    <cellStyle name="Normal_ENPV - Statistics" xfId="22" xr:uid="{C9F9D9DA-3367-8C46-A7B2-46ABE4F4743E}"/>
    <cellStyle name="Normal_FNPV_C - Statistics" xfId="21" xr:uid="{762EA33F-8568-EF4C-BEDA-BAE5C4E4A764}"/>
    <cellStyle name="Normálna" xfId="0" builtinId="0"/>
    <cellStyle name="Normálna 2" xfId="3" xr:uid="{00000000-0005-0000-0000-000002000000}"/>
    <cellStyle name="Normálna 3" xfId="16" xr:uid="{CBA0148F-53A4-44CB-A50A-B37B1EEEB479}"/>
    <cellStyle name="Normálna 8" xfId="10" xr:uid="{15BECDCE-63C7-9944-95A1-27B5D04D5C21}"/>
    <cellStyle name="normálne 2" xfId="1" xr:uid="{00000000-0005-0000-0000-000003000000}"/>
    <cellStyle name="normálne 2 2" xfId="19" xr:uid="{8A766402-7E8B-DD44-A035-75F608B6815C}"/>
    <cellStyle name="Per cent 2" xfId="17" xr:uid="{EA22B5EC-8D6C-BA46-89E2-0397B264D851}"/>
    <cellStyle name="Percent 2" xfId="6" xr:uid="{2C63DB98-27FE-4ADA-90A4-CB88526CB782}"/>
    <cellStyle name="Percent 2 2" xfId="12" xr:uid="{7DA4B0B8-3CE7-D443-82FD-CE4AB07123E4}"/>
    <cellStyle name="Percent 2 3" xfId="18" xr:uid="{8A96414E-2E39-1E4E-9936-BB6E6EE4E207}"/>
    <cellStyle name="Percentá" xfId="2" builtinId="5"/>
  </cellStyles>
  <dxfs count="20">
    <dxf>
      <font>
        <color rgb="FF00B050"/>
      </font>
    </dxf>
    <dxf>
      <font>
        <color theme="1"/>
      </font>
    </dxf>
    <dxf>
      <font>
        <color rgb="FF00B050"/>
      </font>
    </dxf>
    <dxf>
      <font>
        <color theme="1"/>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B050"/>
      </font>
    </dxf>
    <dxf>
      <font>
        <color theme="1"/>
      </font>
    </dxf>
    <dxf>
      <font>
        <color rgb="FF00B050"/>
      </font>
    </dxf>
    <dxf>
      <font>
        <color theme="1"/>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9" defaultPivotStyle="PivotStyleLight16"/>
  <colors>
    <mruColors>
      <color rgb="FFD90000"/>
      <color rgb="FFA50000"/>
      <color rgb="FFFFFF00"/>
      <color rgb="FF3399FF"/>
      <color rgb="FFFFFF66"/>
      <color rgb="FFFFFFCC"/>
      <color rgb="FF99FFCC"/>
      <color rgb="FFCCFF33"/>
      <color rgb="FFFFCC66"/>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charts/_rels/chart7.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333333"/>
                </a:solidFill>
                <a:latin typeface="Calibri"/>
                <a:ea typeface="Calibri"/>
                <a:cs typeface="Calibri"/>
              </a:defRPr>
            </a:pPr>
            <a:r>
              <a:rPr lang="sk-SK"/>
              <a:t>Percentuálna zmena FNPV_C - pri zmene vstupných premenných o +1%/-1%</a:t>
            </a:r>
          </a:p>
        </c:rich>
      </c:tx>
      <c:overlay val="0"/>
      <c:spPr>
        <a:noFill/>
        <a:ln w="25400">
          <a:noFill/>
        </a:ln>
      </c:spPr>
    </c:title>
    <c:autoTitleDeleted val="0"/>
    <c:plotArea>
      <c:layout/>
      <c:barChart>
        <c:barDir val="bar"/>
        <c:grouping val="clustered"/>
        <c:varyColors val="0"/>
        <c:ser>
          <c:idx val="0"/>
          <c:order val="0"/>
          <c:tx>
            <c:strRef>
              <c:f>'Analýza citl. FNPV_C - nákup '!$C$20</c:f>
              <c:strCache>
                <c:ptCount val="1"/>
                <c:pt idx="0">
                  <c:v>zmena FNPV_C 
pri 1% zmene vstupnej premennej
</c:v>
                </c:pt>
              </c:strCache>
            </c:strRef>
          </c:tx>
          <c:spPr>
            <a:solidFill>
              <a:srgbClr val="4F81BD"/>
            </a:solidFill>
            <a:ln w="25400">
              <a:noFill/>
            </a:ln>
          </c:spPr>
          <c:invertIfNegative val="0"/>
          <c:cat>
            <c:strRef>
              <c:f>'Analýza citl. FNPV_C - nákup '!$B$21:$B$24</c:f>
              <c:strCache>
                <c:ptCount val="4"/>
                <c:pt idx="0">
                  <c:v>Vstupná premenná:
Investičné výdavky</c:v>
                </c:pt>
                <c:pt idx="1">
                  <c:v>Vstupná premenná:
Prevádzkové výdavky</c:v>
                </c:pt>
                <c:pt idx="2">
                  <c:v>Vstupná premenná:
Prevádzkové príjmy</c:v>
                </c:pt>
                <c:pt idx="3">
                  <c:v>Vstupná premenná:
Zostatková hodnota</c:v>
                </c:pt>
              </c:strCache>
            </c:strRef>
          </c:cat>
          <c:val>
            <c:numRef>
              <c:f>'Analýza citl. FNPV_C - nákup '!$C$21:$C$24</c:f>
              <c:numCache>
                <c:formatCode>0.00%</c:formatCode>
                <c:ptCount val="4"/>
                <c:pt idx="0">
                  <c:v>-8.0681169777074846E-3</c:v>
                </c:pt>
                <c:pt idx="1">
                  <c:v>9.715779990757234E-3</c:v>
                </c:pt>
                <c:pt idx="2">
                  <c:v>7.1880029348279084E-3</c:v>
                </c:pt>
                <c:pt idx="3">
                  <c:v>1.164334052121907E-3</c:v>
                </c:pt>
              </c:numCache>
            </c:numRef>
          </c:val>
          <c:extLst>
            <c:ext xmlns:c16="http://schemas.microsoft.com/office/drawing/2014/chart" uri="{C3380CC4-5D6E-409C-BE32-E72D297353CC}">
              <c16:uniqueId val="{00000000-16CC-344F-9F49-B62EA9F1719E}"/>
            </c:ext>
          </c:extLst>
        </c:ser>
        <c:ser>
          <c:idx val="1"/>
          <c:order val="1"/>
          <c:tx>
            <c:strRef>
              <c:f>'Analýza citl. FNPV_C - nákup '!$E$20</c:f>
              <c:strCache>
                <c:ptCount val="1"/>
                <c:pt idx="0">
                  <c:v>zmena FNPV_C 
pri -1% zmene vstupnej premennej
</c:v>
                </c:pt>
              </c:strCache>
            </c:strRef>
          </c:tx>
          <c:spPr>
            <a:solidFill>
              <a:srgbClr val="C0504D"/>
            </a:solidFill>
            <a:ln w="25400">
              <a:noFill/>
            </a:ln>
          </c:spPr>
          <c:invertIfNegative val="0"/>
          <c:cat>
            <c:strRef>
              <c:f>'Analýza citl. FNPV_C - nákup '!$B$21:$B$24</c:f>
              <c:strCache>
                <c:ptCount val="4"/>
                <c:pt idx="0">
                  <c:v>Vstupná premenná:
Investičné výdavky</c:v>
                </c:pt>
                <c:pt idx="1">
                  <c:v>Vstupná premenná:
Prevádzkové výdavky</c:v>
                </c:pt>
                <c:pt idx="2">
                  <c:v>Vstupná premenná:
Prevádzkové príjmy</c:v>
                </c:pt>
                <c:pt idx="3">
                  <c:v>Vstupná premenná:
Zostatková hodnota</c:v>
                </c:pt>
              </c:strCache>
            </c:strRef>
          </c:cat>
          <c:val>
            <c:numRef>
              <c:f>'Analýza citl. FNPV_C - nákup '!$E$21:$E$24</c:f>
              <c:numCache>
                <c:formatCode>0.00%</c:formatCode>
                <c:ptCount val="4"/>
                <c:pt idx="0">
                  <c:v>8.0681169777072625E-3</c:v>
                </c:pt>
                <c:pt idx="1">
                  <c:v>-9.715779990757234E-3</c:v>
                </c:pt>
                <c:pt idx="2">
                  <c:v>-7.1880029348281305E-3</c:v>
                </c:pt>
                <c:pt idx="3">
                  <c:v>-1.164334052121796E-3</c:v>
                </c:pt>
              </c:numCache>
            </c:numRef>
          </c:val>
          <c:extLst>
            <c:ext xmlns:c16="http://schemas.microsoft.com/office/drawing/2014/chart" uri="{C3380CC4-5D6E-409C-BE32-E72D297353CC}">
              <c16:uniqueId val="{00000001-16CC-344F-9F49-B62EA9F1719E}"/>
            </c:ext>
          </c:extLst>
        </c:ser>
        <c:dLbls>
          <c:showLegendKey val="0"/>
          <c:showVal val="0"/>
          <c:showCatName val="0"/>
          <c:showSerName val="0"/>
          <c:showPercent val="0"/>
          <c:showBubbleSize val="0"/>
        </c:dLbls>
        <c:gapWidth val="182"/>
        <c:axId val="646908552"/>
        <c:axId val="1"/>
      </c:barChart>
      <c:catAx>
        <c:axId val="646908552"/>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sk-SK"/>
          </a:p>
        </c:txPr>
        <c:crossAx val="1"/>
        <c:crosses val="autoZero"/>
        <c:auto val="1"/>
        <c:lblAlgn val="ctr"/>
        <c:lblOffset val="100"/>
        <c:noMultiLvlLbl val="0"/>
      </c:catAx>
      <c:valAx>
        <c:axId val="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sk-SK"/>
          </a:p>
        </c:txPr>
        <c:crossAx val="6469085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a:lstStyle/>
          <a:p>
            <a:pPr rtl="0">
              <a:defRPr sz="900" b="0" i="0" u="none" strike="noStrike" baseline="0">
                <a:solidFill>
                  <a:srgbClr val="333333"/>
                </a:solidFill>
                <a:latin typeface="Calibri"/>
                <a:ea typeface="Calibri"/>
                <a:cs typeface="Calibri"/>
              </a:defRPr>
            </a:pPr>
            <a:endParaRPr lang="sk-SK"/>
          </a:p>
        </c:txPr>
      </c:dTable>
      <c:spPr>
        <a:noFill/>
        <a:ln w="25400">
          <a:noFill/>
        </a:ln>
      </c:spPr>
    </c:plotArea>
    <c:plotVisOnly val="1"/>
    <c:dispBlanksAs val="gap"/>
    <c:showDLblsOverMax val="0"/>
  </c:chart>
  <c:spPr>
    <a:solidFill>
      <a:schemeClr val="bg1"/>
    </a:solidFill>
    <a:ln w="9525" cap="flat" cmpd="sng" algn="ctr">
      <a:solidFill>
        <a:schemeClr val="tx1"/>
      </a:solidFill>
      <a:round/>
    </a:ln>
    <a:effectLst/>
  </c:spPr>
  <c:txPr>
    <a:bodyPr/>
    <a:lstStyle/>
    <a:p>
      <a:pPr>
        <a:defRPr sz="1000" b="0" i="0" u="none" strike="noStrike" baseline="0">
          <a:solidFill>
            <a:srgbClr val="000000"/>
          </a:solidFill>
          <a:latin typeface="Calibri"/>
          <a:ea typeface="Calibri"/>
          <a:cs typeface="Calibri"/>
        </a:defRPr>
      </a:pPr>
      <a:endParaRPr lang="sk-S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333333"/>
                </a:solidFill>
                <a:latin typeface="Calibri"/>
                <a:ea typeface="Calibri"/>
                <a:cs typeface="Calibri"/>
              </a:defRPr>
            </a:pPr>
            <a:r>
              <a:rPr lang="sk-SK"/>
              <a:t>Percentuálna zmena FNPV_C - pri zmene vstupných premenných o +5%/-5%</a:t>
            </a:r>
          </a:p>
        </c:rich>
      </c:tx>
      <c:overlay val="0"/>
      <c:spPr>
        <a:noFill/>
        <a:ln w="25400">
          <a:noFill/>
        </a:ln>
      </c:spPr>
    </c:title>
    <c:autoTitleDeleted val="0"/>
    <c:plotArea>
      <c:layout/>
      <c:barChart>
        <c:barDir val="bar"/>
        <c:grouping val="clustered"/>
        <c:varyColors val="0"/>
        <c:ser>
          <c:idx val="0"/>
          <c:order val="0"/>
          <c:tx>
            <c:strRef>
              <c:f>'Analýza citl. FNPV_C - nákup '!$C$71</c:f>
              <c:strCache>
                <c:ptCount val="1"/>
                <c:pt idx="0">
                  <c:v>zmena FNPV_C 
pri 5% zmene vstupnej premennej
</c:v>
                </c:pt>
              </c:strCache>
            </c:strRef>
          </c:tx>
          <c:spPr>
            <a:solidFill>
              <a:srgbClr val="4F81BD"/>
            </a:solidFill>
            <a:ln w="25400">
              <a:noFill/>
            </a:ln>
          </c:spPr>
          <c:invertIfNegative val="0"/>
          <c:cat>
            <c:strRef>
              <c:f>'Analýza citl. FNPV_C - nákup '!$B$72:$B$75</c:f>
              <c:strCache>
                <c:ptCount val="4"/>
                <c:pt idx="0">
                  <c:v>Vstupná premenná:
Investičné výdavky</c:v>
                </c:pt>
                <c:pt idx="1">
                  <c:v>Vstupná premenná:
Prevádzkové výdavky</c:v>
                </c:pt>
                <c:pt idx="2">
                  <c:v>Vstupná premenná:
Prevádzkové príjmy</c:v>
                </c:pt>
                <c:pt idx="3">
                  <c:v>Vstupná premenná:
Zostatková hodnota</c:v>
                </c:pt>
              </c:strCache>
            </c:strRef>
          </c:cat>
          <c:val>
            <c:numRef>
              <c:f>'Analýza citl. FNPV_C - nákup '!$C$72:$C$75</c:f>
              <c:numCache>
                <c:formatCode>0.00%</c:formatCode>
                <c:ptCount val="4"/>
                <c:pt idx="0">
                  <c:v>-4.0340584888536535E-2</c:v>
                </c:pt>
                <c:pt idx="1">
                  <c:v>4.8578899953785948E-2</c:v>
                </c:pt>
                <c:pt idx="2">
                  <c:v>3.5940014674141096E-2</c:v>
                </c:pt>
                <c:pt idx="3">
                  <c:v>5.821670260609757E-3</c:v>
                </c:pt>
              </c:numCache>
            </c:numRef>
          </c:val>
          <c:extLst>
            <c:ext xmlns:c16="http://schemas.microsoft.com/office/drawing/2014/chart" uri="{C3380CC4-5D6E-409C-BE32-E72D297353CC}">
              <c16:uniqueId val="{00000000-4240-D148-AFAE-3345EF5A3EC3}"/>
            </c:ext>
          </c:extLst>
        </c:ser>
        <c:ser>
          <c:idx val="1"/>
          <c:order val="1"/>
          <c:tx>
            <c:strRef>
              <c:f>'Analýza citl. FNPV_C - nákup '!$E$71</c:f>
              <c:strCache>
                <c:ptCount val="1"/>
                <c:pt idx="0">
                  <c:v>zmena FNPV_C 
pri -5% zmene vstupnej premennej
</c:v>
                </c:pt>
              </c:strCache>
            </c:strRef>
          </c:tx>
          <c:spPr>
            <a:solidFill>
              <a:srgbClr val="C0504D"/>
            </a:solidFill>
            <a:ln w="25400">
              <a:noFill/>
            </a:ln>
          </c:spPr>
          <c:invertIfNegative val="0"/>
          <c:cat>
            <c:strRef>
              <c:f>'Analýza citl. FNPV_C - nákup '!$B$72:$B$75</c:f>
              <c:strCache>
                <c:ptCount val="4"/>
                <c:pt idx="0">
                  <c:v>Vstupná premenná:
Investičné výdavky</c:v>
                </c:pt>
                <c:pt idx="1">
                  <c:v>Vstupná premenná:
Prevádzkové výdavky</c:v>
                </c:pt>
                <c:pt idx="2">
                  <c:v>Vstupná premenná:
Prevádzkové príjmy</c:v>
                </c:pt>
                <c:pt idx="3">
                  <c:v>Vstupná premenná:
Zostatková hodnota</c:v>
                </c:pt>
              </c:strCache>
            </c:strRef>
          </c:cat>
          <c:val>
            <c:numRef>
              <c:f>'Analýza citl. FNPV_C - nákup '!$E$72:$E$75</c:f>
              <c:numCache>
                <c:formatCode>0.00%</c:formatCode>
                <c:ptCount val="4"/>
                <c:pt idx="0">
                  <c:v>4.0340584888536757E-2</c:v>
                </c:pt>
                <c:pt idx="1">
                  <c:v>-4.8578899953785615E-2</c:v>
                </c:pt>
                <c:pt idx="2">
                  <c:v>-3.5940014674141096E-2</c:v>
                </c:pt>
                <c:pt idx="3">
                  <c:v>-5.821670260609535E-3</c:v>
                </c:pt>
              </c:numCache>
            </c:numRef>
          </c:val>
          <c:extLst>
            <c:ext xmlns:c16="http://schemas.microsoft.com/office/drawing/2014/chart" uri="{C3380CC4-5D6E-409C-BE32-E72D297353CC}">
              <c16:uniqueId val="{00000001-4240-D148-AFAE-3345EF5A3EC3}"/>
            </c:ext>
          </c:extLst>
        </c:ser>
        <c:dLbls>
          <c:showLegendKey val="0"/>
          <c:showVal val="0"/>
          <c:showCatName val="0"/>
          <c:showSerName val="0"/>
          <c:showPercent val="0"/>
          <c:showBubbleSize val="0"/>
        </c:dLbls>
        <c:gapWidth val="182"/>
        <c:axId val="646910520"/>
        <c:axId val="1"/>
      </c:barChart>
      <c:catAx>
        <c:axId val="646910520"/>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sk-SK"/>
          </a:p>
        </c:txPr>
        <c:crossAx val="1"/>
        <c:crosses val="autoZero"/>
        <c:auto val="1"/>
        <c:lblAlgn val="ctr"/>
        <c:lblOffset val="100"/>
        <c:noMultiLvlLbl val="0"/>
      </c:catAx>
      <c:valAx>
        <c:axId val="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sk-SK"/>
          </a:p>
        </c:txPr>
        <c:crossAx val="6469105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a:lstStyle/>
          <a:p>
            <a:pPr rtl="0">
              <a:defRPr sz="900" b="0" i="0" u="none" strike="noStrike" baseline="0">
                <a:solidFill>
                  <a:srgbClr val="333333"/>
                </a:solidFill>
                <a:latin typeface="Calibri"/>
                <a:ea typeface="Calibri"/>
                <a:cs typeface="Calibri"/>
              </a:defRPr>
            </a:pPr>
            <a:endParaRPr lang="sk-SK"/>
          </a:p>
        </c:txPr>
      </c:dTable>
      <c:spPr>
        <a:noFill/>
        <a:ln w="25400">
          <a:noFill/>
        </a:ln>
      </c:spPr>
    </c:plotArea>
    <c:plotVisOnly val="1"/>
    <c:dispBlanksAs val="gap"/>
    <c:showDLblsOverMax val="0"/>
  </c:chart>
  <c:spPr>
    <a:solidFill>
      <a:schemeClr val="bg1"/>
    </a:solidFill>
    <a:ln w="9525" cap="flat" cmpd="sng" algn="ctr">
      <a:solidFill>
        <a:schemeClr val="tx1"/>
      </a:solidFill>
      <a:round/>
    </a:ln>
    <a:effectLst/>
  </c:spPr>
  <c:txPr>
    <a:bodyPr/>
    <a:lstStyle/>
    <a:p>
      <a:pPr>
        <a:defRPr sz="1000" b="0" i="0" u="none" strike="noStrike" baseline="0">
          <a:solidFill>
            <a:srgbClr val="000000"/>
          </a:solidFill>
          <a:latin typeface="Calibri"/>
          <a:ea typeface="Calibri"/>
          <a:cs typeface="Calibri"/>
        </a:defRPr>
      </a:pPr>
      <a:endParaRPr lang="sk-S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333333"/>
                </a:solidFill>
                <a:latin typeface="Calibri"/>
                <a:ea typeface="Calibri"/>
                <a:cs typeface="Calibri"/>
              </a:defRPr>
            </a:pPr>
            <a:r>
              <a:rPr lang="sk-SK"/>
              <a:t>Percentuálna zmena FNPV_C - pri zmene vstupných premenných o +10%/-10%</a:t>
            </a:r>
          </a:p>
        </c:rich>
      </c:tx>
      <c:overlay val="0"/>
      <c:spPr>
        <a:noFill/>
        <a:ln w="25400">
          <a:noFill/>
        </a:ln>
      </c:spPr>
    </c:title>
    <c:autoTitleDeleted val="0"/>
    <c:plotArea>
      <c:layout/>
      <c:barChart>
        <c:barDir val="bar"/>
        <c:grouping val="clustered"/>
        <c:varyColors val="0"/>
        <c:ser>
          <c:idx val="0"/>
          <c:order val="0"/>
          <c:tx>
            <c:strRef>
              <c:f>'Analýza citl. FNPV_C - nákup '!$C$121</c:f>
              <c:strCache>
                <c:ptCount val="1"/>
                <c:pt idx="0">
                  <c:v>zmena FNPV_C 
pri 10% zmene vstupnej premennej
</c:v>
                </c:pt>
              </c:strCache>
            </c:strRef>
          </c:tx>
          <c:spPr>
            <a:solidFill>
              <a:srgbClr val="4F81BD"/>
            </a:solidFill>
            <a:ln w="25400">
              <a:noFill/>
            </a:ln>
          </c:spPr>
          <c:invertIfNegative val="0"/>
          <c:cat>
            <c:strRef>
              <c:f>'Analýza citl. FNPV_C - nákup '!$B$122:$B$125</c:f>
              <c:strCache>
                <c:ptCount val="4"/>
                <c:pt idx="0">
                  <c:v>Vstupná premenná:
Investičné výdavky</c:v>
                </c:pt>
                <c:pt idx="1">
                  <c:v>Vstupná premenná:
Prevádzkové výdavky</c:v>
                </c:pt>
                <c:pt idx="2">
                  <c:v>Vstupná premenná:
Prevádzkové príjmy</c:v>
                </c:pt>
                <c:pt idx="3">
                  <c:v>Vstupná premenná:
Zostatková hodnota</c:v>
                </c:pt>
              </c:strCache>
            </c:strRef>
          </c:cat>
          <c:val>
            <c:numRef>
              <c:f>'Analýza citl. FNPV_C - nákup '!$C$122:$C$125</c:f>
              <c:numCache>
                <c:formatCode>0.00%</c:formatCode>
                <c:ptCount val="4"/>
                <c:pt idx="0">
                  <c:v>-8.0681169777073292E-2</c:v>
                </c:pt>
                <c:pt idx="1">
                  <c:v>9.7157799907572118E-2</c:v>
                </c:pt>
                <c:pt idx="2">
                  <c:v>7.1880029348282193E-2</c:v>
                </c:pt>
                <c:pt idx="3">
                  <c:v>1.1643340521219292E-2</c:v>
                </c:pt>
              </c:numCache>
            </c:numRef>
          </c:val>
          <c:extLst>
            <c:ext xmlns:c16="http://schemas.microsoft.com/office/drawing/2014/chart" uri="{C3380CC4-5D6E-409C-BE32-E72D297353CC}">
              <c16:uniqueId val="{00000000-14EA-BA45-87A2-C78D77BC20A3}"/>
            </c:ext>
          </c:extLst>
        </c:ser>
        <c:ser>
          <c:idx val="1"/>
          <c:order val="1"/>
          <c:tx>
            <c:strRef>
              <c:f>'Analýza citl. FNPV_C - nákup '!$E$121</c:f>
              <c:strCache>
                <c:ptCount val="1"/>
                <c:pt idx="0">
                  <c:v>zmena FNPV_C 
pri -10% zmene vstupnej premennej
</c:v>
                </c:pt>
              </c:strCache>
            </c:strRef>
          </c:tx>
          <c:spPr>
            <a:solidFill>
              <a:srgbClr val="C0504D"/>
            </a:solidFill>
            <a:ln w="25400">
              <a:noFill/>
            </a:ln>
          </c:spPr>
          <c:invertIfNegative val="0"/>
          <c:cat>
            <c:strRef>
              <c:f>'Analýza citl. FNPV_C - nákup '!$B$122:$B$125</c:f>
              <c:strCache>
                <c:ptCount val="4"/>
                <c:pt idx="0">
                  <c:v>Vstupná premenná:
Investičné výdavky</c:v>
                </c:pt>
                <c:pt idx="1">
                  <c:v>Vstupná premenná:
Prevádzkové výdavky</c:v>
                </c:pt>
                <c:pt idx="2">
                  <c:v>Vstupná premenná:
Prevádzkové príjmy</c:v>
                </c:pt>
                <c:pt idx="3">
                  <c:v>Vstupná premenná:
Zostatková hodnota</c:v>
                </c:pt>
              </c:strCache>
            </c:strRef>
          </c:cat>
          <c:val>
            <c:numRef>
              <c:f>'Analýza citl. FNPV_C - nákup '!$E$122:$E$125</c:f>
              <c:numCache>
                <c:formatCode>0.00%</c:formatCode>
                <c:ptCount val="4"/>
                <c:pt idx="0">
                  <c:v>8.0681169777073292E-2</c:v>
                </c:pt>
                <c:pt idx="1">
                  <c:v>-9.7157799907571785E-2</c:v>
                </c:pt>
                <c:pt idx="2">
                  <c:v>-7.1880029348282082E-2</c:v>
                </c:pt>
                <c:pt idx="3">
                  <c:v>-1.1643340521219292E-2</c:v>
                </c:pt>
              </c:numCache>
            </c:numRef>
          </c:val>
          <c:extLst>
            <c:ext xmlns:c16="http://schemas.microsoft.com/office/drawing/2014/chart" uri="{C3380CC4-5D6E-409C-BE32-E72D297353CC}">
              <c16:uniqueId val="{00000001-14EA-BA45-87A2-C78D77BC20A3}"/>
            </c:ext>
          </c:extLst>
        </c:ser>
        <c:dLbls>
          <c:showLegendKey val="0"/>
          <c:showVal val="0"/>
          <c:showCatName val="0"/>
          <c:showSerName val="0"/>
          <c:showPercent val="0"/>
          <c:showBubbleSize val="0"/>
        </c:dLbls>
        <c:gapWidth val="182"/>
        <c:axId val="646920032"/>
        <c:axId val="1"/>
      </c:barChart>
      <c:catAx>
        <c:axId val="646920032"/>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sk-SK"/>
          </a:p>
        </c:txPr>
        <c:crossAx val="1"/>
        <c:crosses val="autoZero"/>
        <c:auto val="1"/>
        <c:lblAlgn val="ctr"/>
        <c:lblOffset val="100"/>
        <c:noMultiLvlLbl val="0"/>
      </c:catAx>
      <c:valAx>
        <c:axId val="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sk-SK"/>
          </a:p>
        </c:txPr>
        <c:crossAx val="646920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a:lstStyle/>
          <a:p>
            <a:pPr rtl="0">
              <a:defRPr sz="900" b="0" i="0" u="none" strike="noStrike" baseline="0">
                <a:solidFill>
                  <a:srgbClr val="333333"/>
                </a:solidFill>
                <a:latin typeface="Calibri"/>
                <a:ea typeface="Calibri"/>
                <a:cs typeface="Calibri"/>
              </a:defRPr>
            </a:pPr>
            <a:endParaRPr lang="sk-SK"/>
          </a:p>
        </c:txPr>
      </c:dTable>
      <c:spPr>
        <a:noFill/>
        <a:ln w="25400">
          <a:noFill/>
        </a:ln>
      </c:spPr>
    </c:plotArea>
    <c:plotVisOnly val="1"/>
    <c:dispBlanksAs val="gap"/>
    <c:showDLblsOverMax val="0"/>
  </c:chart>
  <c:spPr>
    <a:solidFill>
      <a:schemeClr val="bg1"/>
    </a:solidFill>
    <a:ln w="9525" cap="flat" cmpd="sng" algn="ctr">
      <a:solidFill>
        <a:schemeClr val="tx1"/>
      </a:solidFill>
      <a:round/>
    </a:ln>
    <a:effectLst/>
  </c:spPr>
  <c:txPr>
    <a:bodyPr/>
    <a:lstStyle/>
    <a:p>
      <a:pPr>
        <a:defRPr sz="1000" b="0" i="0" u="none" strike="noStrike" baseline="0">
          <a:solidFill>
            <a:srgbClr val="000000"/>
          </a:solidFill>
          <a:latin typeface="Calibri"/>
          <a:ea typeface="Calibri"/>
          <a:cs typeface="Calibri"/>
        </a:defRPr>
      </a:pPr>
      <a:endParaRPr lang="sk-S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333333"/>
                </a:solidFill>
                <a:latin typeface="Calibri"/>
                <a:ea typeface="Calibri"/>
                <a:cs typeface="Calibri"/>
              </a:defRPr>
            </a:pPr>
            <a:r>
              <a:rPr lang="sk-SK"/>
              <a:t>Percentuálna zmena ENPV pri zmene vstupných premenných o +1%/-1%</a:t>
            </a:r>
          </a:p>
        </c:rich>
      </c:tx>
      <c:overlay val="0"/>
      <c:spPr>
        <a:noFill/>
        <a:ln w="25400">
          <a:noFill/>
        </a:ln>
      </c:spPr>
    </c:title>
    <c:autoTitleDeleted val="0"/>
    <c:plotArea>
      <c:layout/>
      <c:barChart>
        <c:barDir val="bar"/>
        <c:grouping val="clustered"/>
        <c:varyColors val="0"/>
        <c:ser>
          <c:idx val="0"/>
          <c:order val="0"/>
          <c:tx>
            <c:strRef>
              <c:f>'Analýza citl.  ENPV - nákup'!$C$22</c:f>
              <c:strCache>
                <c:ptCount val="1"/>
                <c:pt idx="0">
                  <c:v>zmena ENPV
pri 1% zmene vstupnej premennej
</c:v>
                </c:pt>
              </c:strCache>
            </c:strRef>
          </c:tx>
          <c:spPr>
            <a:solidFill>
              <a:srgbClr val="4F81BD"/>
            </a:solidFill>
            <a:ln w="25400">
              <a:noFill/>
            </a:ln>
          </c:spPr>
          <c:invertIfNegative val="0"/>
          <c:cat>
            <c:strRef>
              <c:f>'Analýza citl.  ENPV - nákup'!$B$23:$B$28</c:f>
              <c:strCache>
                <c:ptCount val="6"/>
                <c:pt idx="0">
                  <c:v>Vstupná premenná:
Investičné náklady</c:v>
                </c:pt>
                <c:pt idx="1">
                  <c:v>Vstupná premenná:
Prevádzkové náklady</c:v>
                </c:pt>
                <c:pt idx="2">
                  <c:v>Vstupná premenná:
Počet cestujúcich</c:v>
                </c:pt>
                <c:pt idx="3">
                  <c:v>Vstupná premenná:
Úspora času cestujúci</c:v>
                </c:pt>
                <c:pt idx="4">
                  <c:v>Vstupná premenná:
Úspora času prípr. vlaku</c:v>
                </c:pt>
                <c:pt idx="5">
                  <c:v>Vstupná premenná:
Zostatková hodnota</c:v>
                </c:pt>
              </c:strCache>
            </c:strRef>
          </c:cat>
          <c:val>
            <c:numRef>
              <c:f>'Analýza citl.  ENPV - nákup'!$C$23:$C$28</c:f>
              <c:numCache>
                <c:formatCode>0.00%</c:formatCode>
                <c:ptCount val="6"/>
                <c:pt idx="0">
                  <c:v>-2.5435204075207274E-2</c:v>
                </c:pt>
                <c:pt idx="1">
                  <c:v>2.994443743316455E-2</c:v>
                </c:pt>
                <c:pt idx="2">
                  <c:v>2.4266681667810541E-3</c:v>
                </c:pt>
                <c:pt idx="3">
                  <c:v>2.4266681667808321E-3</c:v>
                </c:pt>
                <c:pt idx="4">
                  <c:v>1.6798173803711514E-4</c:v>
                </c:pt>
                <c:pt idx="5">
                  <c:v>2.8957804374478702E-3</c:v>
                </c:pt>
              </c:numCache>
            </c:numRef>
          </c:val>
          <c:extLst>
            <c:ext xmlns:c16="http://schemas.microsoft.com/office/drawing/2014/chart" uri="{C3380CC4-5D6E-409C-BE32-E72D297353CC}">
              <c16:uniqueId val="{00000000-A0EC-5C49-BE85-5D53C8C5BEB4}"/>
            </c:ext>
          </c:extLst>
        </c:ser>
        <c:ser>
          <c:idx val="1"/>
          <c:order val="1"/>
          <c:tx>
            <c:strRef>
              <c:f>'Analýza citl.  ENPV - nákup'!$E$22</c:f>
              <c:strCache>
                <c:ptCount val="1"/>
                <c:pt idx="0">
                  <c:v>zmena ENPV
pri -1% zmene vstupnej premennej
</c:v>
                </c:pt>
              </c:strCache>
            </c:strRef>
          </c:tx>
          <c:spPr>
            <a:solidFill>
              <a:srgbClr val="C0504D"/>
            </a:solidFill>
            <a:ln w="25400">
              <a:noFill/>
            </a:ln>
          </c:spPr>
          <c:invertIfNegative val="0"/>
          <c:cat>
            <c:strRef>
              <c:f>'Analýza citl.  ENPV - nákup'!$B$23:$B$28</c:f>
              <c:strCache>
                <c:ptCount val="6"/>
                <c:pt idx="0">
                  <c:v>Vstupná premenná:
Investičné náklady</c:v>
                </c:pt>
                <c:pt idx="1">
                  <c:v>Vstupná premenná:
Prevádzkové náklady</c:v>
                </c:pt>
                <c:pt idx="2">
                  <c:v>Vstupná premenná:
Počet cestujúcich</c:v>
                </c:pt>
                <c:pt idx="3">
                  <c:v>Vstupná premenná:
Úspora času cestujúci</c:v>
                </c:pt>
                <c:pt idx="4">
                  <c:v>Vstupná premenná:
Úspora času prípr. vlaku</c:v>
                </c:pt>
                <c:pt idx="5">
                  <c:v>Vstupná premenná:
Zostatková hodnota</c:v>
                </c:pt>
              </c:strCache>
            </c:strRef>
          </c:cat>
          <c:val>
            <c:numRef>
              <c:f>'Analýza citl.  ENPV - nákup'!$E$23:$E$28</c:f>
              <c:numCache>
                <c:formatCode>0.00%</c:formatCode>
                <c:ptCount val="6"/>
                <c:pt idx="0">
                  <c:v>2.543520407520683E-2</c:v>
                </c:pt>
                <c:pt idx="1">
                  <c:v>-2.9944437433165327E-2</c:v>
                </c:pt>
                <c:pt idx="2">
                  <c:v>-2.4266681667813872E-3</c:v>
                </c:pt>
                <c:pt idx="3">
                  <c:v>-2.4266681667813872E-3</c:v>
                </c:pt>
                <c:pt idx="4">
                  <c:v>-1.6798173803755923E-4</c:v>
                </c:pt>
                <c:pt idx="5">
                  <c:v>-2.8957804374484253E-3</c:v>
                </c:pt>
              </c:numCache>
            </c:numRef>
          </c:val>
          <c:extLst>
            <c:ext xmlns:c16="http://schemas.microsoft.com/office/drawing/2014/chart" uri="{C3380CC4-5D6E-409C-BE32-E72D297353CC}">
              <c16:uniqueId val="{00000001-A0EC-5C49-BE85-5D53C8C5BEB4}"/>
            </c:ext>
          </c:extLst>
        </c:ser>
        <c:dLbls>
          <c:showLegendKey val="0"/>
          <c:showVal val="0"/>
          <c:showCatName val="0"/>
          <c:showSerName val="0"/>
          <c:showPercent val="0"/>
          <c:showBubbleSize val="0"/>
        </c:dLbls>
        <c:gapWidth val="182"/>
        <c:axId val="616608752"/>
        <c:axId val="1"/>
      </c:barChart>
      <c:catAx>
        <c:axId val="616608752"/>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sk-SK"/>
          </a:p>
        </c:txPr>
        <c:crossAx val="1"/>
        <c:crosses val="autoZero"/>
        <c:auto val="1"/>
        <c:lblAlgn val="ctr"/>
        <c:lblOffset val="100"/>
        <c:noMultiLvlLbl val="0"/>
      </c:catAx>
      <c:valAx>
        <c:axId val="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sk-SK"/>
          </a:p>
        </c:txPr>
        <c:crossAx val="616608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a:lstStyle/>
          <a:p>
            <a:pPr rtl="0">
              <a:defRPr sz="900" b="0" i="0" u="none" strike="noStrike" baseline="0">
                <a:solidFill>
                  <a:srgbClr val="333333"/>
                </a:solidFill>
                <a:latin typeface="Calibri"/>
                <a:ea typeface="Calibri"/>
                <a:cs typeface="Calibri"/>
              </a:defRPr>
            </a:pPr>
            <a:endParaRPr lang="sk-SK"/>
          </a:p>
        </c:txPr>
      </c:dTable>
      <c:spPr>
        <a:noFill/>
        <a:ln w="25400">
          <a:noFill/>
        </a:ln>
      </c:spPr>
    </c:plotArea>
    <c:plotVisOnly val="1"/>
    <c:dispBlanksAs val="gap"/>
    <c:showDLblsOverMax val="0"/>
  </c:chart>
  <c:spPr>
    <a:solidFill>
      <a:schemeClr val="bg1"/>
    </a:solidFill>
    <a:ln w="9525" cap="flat" cmpd="sng" algn="ctr">
      <a:solidFill>
        <a:schemeClr val="tx1"/>
      </a:solidFill>
      <a:round/>
    </a:ln>
    <a:effectLst/>
  </c:spPr>
  <c:txPr>
    <a:bodyPr/>
    <a:lstStyle/>
    <a:p>
      <a:pPr>
        <a:defRPr sz="1000" b="0" i="0" u="none" strike="noStrike" baseline="0">
          <a:solidFill>
            <a:srgbClr val="000000"/>
          </a:solidFill>
          <a:latin typeface="Calibri"/>
          <a:ea typeface="Calibri"/>
          <a:cs typeface="Calibri"/>
        </a:defRPr>
      </a:pPr>
      <a:endParaRPr lang="sk-S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333333"/>
                </a:solidFill>
                <a:latin typeface="Calibri"/>
                <a:ea typeface="Calibri"/>
                <a:cs typeface="Calibri"/>
              </a:defRPr>
            </a:pPr>
            <a:r>
              <a:rPr lang="sk-SK"/>
              <a:t>Percentuálna zmena ENPV pri zmene vstupných premenných o +5%/-5%</a:t>
            </a:r>
          </a:p>
        </c:rich>
      </c:tx>
      <c:overlay val="0"/>
      <c:spPr>
        <a:noFill/>
        <a:ln w="25400">
          <a:noFill/>
        </a:ln>
      </c:spPr>
    </c:title>
    <c:autoTitleDeleted val="0"/>
    <c:plotArea>
      <c:layout/>
      <c:barChart>
        <c:barDir val="bar"/>
        <c:grouping val="clustered"/>
        <c:varyColors val="0"/>
        <c:ser>
          <c:idx val="0"/>
          <c:order val="0"/>
          <c:tx>
            <c:strRef>
              <c:f>'Analýza citl.  ENPV - nákup'!$C$85</c:f>
              <c:strCache>
                <c:ptCount val="1"/>
                <c:pt idx="0">
                  <c:v>zmena ENPV
pri 5% zmene vstupnej premennej
</c:v>
                </c:pt>
              </c:strCache>
            </c:strRef>
          </c:tx>
          <c:spPr>
            <a:solidFill>
              <a:srgbClr val="4F81BD"/>
            </a:solidFill>
            <a:ln w="25400">
              <a:noFill/>
            </a:ln>
          </c:spPr>
          <c:invertIfNegative val="0"/>
          <c:cat>
            <c:strRef>
              <c:f>'Analýza citl.  ENPV - nákup'!$B$86:$B$91</c:f>
              <c:strCache>
                <c:ptCount val="6"/>
                <c:pt idx="0">
                  <c:v>Vstupná premenná:
Investičné náklady</c:v>
                </c:pt>
                <c:pt idx="1">
                  <c:v>Vstupná premenná:
Prevádzkové náklady</c:v>
                </c:pt>
                <c:pt idx="2">
                  <c:v>Vstupná premenná:
Počet cestujúcich</c:v>
                </c:pt>
                <c:pt idx="3">
                  <c:v>Vstupná premenná:
Úspora času cestujúci</c:v>
                </c:pt>
                <c:pt idx="4">
                  <c:v>Vstupná premenná:
Úspora času prípr. vlaku</c:v>
                </c:pt>
                <c:pt idx="5">
                  <c:v>Vstupná premenná:
Zostatková hodnota</c:v>
                </c:pt>
              </c:strCache>
            </c:strRef>
          </c:cat>
          <c:val>
            <c:numRef>
              <c:f>'Analýza citl.  ENPV - nákup'!$C$86:$C$91</c:f>
              <c:numCache>
                <c:formatCode>0.00%</c:formatCode>
                <c:ptCount val="6"/>
                <c:pt idx="0">
                  <c:v>-0.12717602037603581</c:v>
                </c:pt>
                <c:pt idx="1">
                  <c:v>0.14972218716582364</c:v>
                </c:pt>
                <c:pt idx="2">
                  <c:v>1.2133340833905493E-2</c:v>
                </c:pt>
                <c:pt idx="3">
                  <c:v>1.2133340833905493E-2</c:v>
                </c:pt>
                <c:pt idx="4">
                  <c:v>8.3990869018535363E-4</c:v>
                </c:pt>
                <c:pt idx="5">
                  <c:v>1.4478902187240239E-2</c:v>
                </c:pt>
              </c:numCache>
            </c:numRef>
          </c:val>
          <c:extLst>
            <c:ext xmlns:c16="http://schemas.microsoft.com/office/drawing/2014/chart" uri="{C3380CC4-5D6E-409C-BE32-E72D297353CC}">
              <c16:uniqueId val="{00000000-BAE0-2D4A-BE89-644F71AC376B}"/>
            </c:ext>
          </c:extLst>
        </c:ser>
        <c:ser>
          <c:idx val="1"/>
          <c:order val="1"/>
          <c:tx>
            <c:strRef>
              <c:f>'Analýza citl.  ENPV - nákup'!$E$85</c:f>
              <c:strCache>
                <c:ptCount val="1"/>
                <c:pt idx="0">
                  <c:v>zmena ENPV
pri -5% zmene vstupnej premennej
</c:v>
                </c:pt>
              </c:strCache>
            </c:strRef>
          </c:tx>
          <c:spPr>
            <a:solidFill>
              <a:srgbClr val="C0504D"/>
            </a:solidFill>
            <a:ln w="25400">
              <a:noFill/>
            </a:ln>
          </c:spPr>
          <c:invertIfNegative val="0"/>
          <c:cat>
            <c:strRef>
              <c:f>'Analýza citl.  ENPV - nákup'!$B$86:$B$91</c:f>
              <c:strCache>
                <c:ptCount val="6"/>
                <c:pt idx="0">
                  <c:v>Vstupná premenná:
Investičné náklady</c:v>
                </c:pt>
                <c:pt idx="1">
                  <c:v>Vstupná premenná:
Prevádzkové náklady</c:v>
                </c:pt>
                <c:pt idx="2">
                  <c:v>Vstupná premenná:
Počet cestujúcich</c:v>
                </c:pt>
                <c:pt idx="3">
                  <c:v>Vstupná premenná:
Úspora času cestujúci</c:v>
                </c:pt>
                <c:pt idx="4">
                  <c:v>Vstupná premenná:
Úspora času prípr. vlaku</c:v>
                </c:pt>
                <c:pt idx="5">
                  <c:v>Vstupná premenná:
Zostatková hodnota</c:v>
                </c:pt>
              </c:strCache>
            </c:strRef>
          </c:cat>
          <c:val>
            <c:numRef>
              <c:f>'Analýza citl.  ENPV - nákup'!$E$86:$E$91</c:f>
              <c:numCache>
                <c:formatCode>0.00%</c:formatCode>
                <c:ptCount val="6"/>
                <c:pt idx="0">
                  <c:v>0.12717602037603526</c:v>
                </c:pt>
                <c:pt idx="1">
                  <c:v>-0.14972218716582453</c:v>
                </c:pt>
                <c:pt idx="2">
                  <c:v>-1.2133340833906159E-2</c:v>
                </c:pt>
                <c:pt idx="3">
                  <c:v>-1.2133340833906159E-2</c:v>
                </c:pt>
                <c:pt idx="4">
                  <c:v>-8.3990869018613079E-4</c:v>
                </c:pt>
                <c:pt idx="5">
                  <c:v>-1.4478902187240905E-2</c:v>
                </c:pt>
              </c:numCache>
            </c:numRef>
          </c:val>
          <c:extLst>
            <c:ext xmlns:c16="http://schemas.microsoft.com/office/drawing/2014/chart" uri="{C3380CC4-5D6E-409C-BE32-E72D297353CC}">
              <c16:uniqueId val="{00000001-BAE0-2D4A-BE89-644F71AC376B}"/>
            </c:ext>
          </c:extLst>
        </c:ser>
        <c:dLbls>
          <c:showLegendKey val="0"/>
          <c:showVal val="0"/>
          <c:showCatName val="0"/>
          <c:showSerName val="0"/>
          <c:showPercent val="0"/>
          <c:showBubbleSize val="0"/>
        </c:dLbls>
        <c:gapWidth val="182"/>
        <c:axId val="313352128"/>
        <c:axId val="1"/>
      </c:barChart>
      <c:catAx>
        <c:axId val="313352128"/>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sk-SK"/>
          </a:p>
        </c:txPr>
        <c:crossAx val="1"/>
        <c:crosses val="autoZero"/>
        <c:auto val="1"/>
        <c:lblAlgn val="ctr"/>
        <c:lblOffset val="100"/>
        <c:noMultiLvlLbl val="0"/>
      </c:catAx>
      <c:valAx>
        <c:axId val="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sk-SK"/>
          </a:p>
        </c:txPr>
        <c:crossAx val="3133521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a:lstStyle/>
          <a:p>
            <a:pPr rtl="0">
              <a:defRPr sz="900" b="0" i="0" u="none" strike="noStrike" baseline="0">
                <a:solidFill>
                  <a:srgbClr val="333333"/>
                </a:solidFill>
                <a:latin typeface="Calibri"/>
                <a:ea typeface="Calibri"/>
                <a:cs typeface="Calibri"/>
              </a:defRPr>
            </a:pPr>
            <a:endParaRPr lang="sk-SK"/>
          </a:p>
        </c:txPr>
      </c:dTable>
      <c:spPr>
        <a:noFill/>
        <a:ln w="25400">
          <a:noFill/>
        </a:ln>
      </c:spPr>
    </c:plotArea>
    <c:plotVisOnly val="1"/>
    <c:dispBlanksAs val="gap"/>
    <c:showDLblsOverMax val="0"/>
  </c:chart>
  <c:spPr>
    <a:solidFill>
      <a:schemeClr val="bg1"/>
    </a:solidFill>
    <a:ln w="9525" cap="flat" cmpd="sng" algn="ctr">
      <a:solidFill>
        <a:schemeClr val="tx1"/>
      </a:solidFill>
      <a:round/>
    </a:ln>
    <a:effectLst/>
  </c:spPr>
  <c:txPr>
    <a:bodyPr/>
    <a:lstStyle/>
    <a:p>
      <a:pPr>
        <a:defRPr sz="1000" b="0" i="0" u="none" strike="noStrike" baseline="0">
          <a:solidFill>
            <a:srgbClr val="000000"/>
          </a:solidFill>
          <a:latin typeface="Calibri"/>
          <a:ea typeface="Calibri"/>
          <a:cs typeface="Calibri"/>
        </a:defRPr>
      </a:pPr>
      <a:endParaRPr lang="sk-S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333333"/>
                </a:solidFill>
                <a:latin typeface="Calibri"/>
                <a:ea typeface="Calibri"/>
                <a:cs typeface="Calibri"/>
              </a:defRPr>
            </a:pPr>
            <a:r>
              <a:rPr lang="sk-SK"/>
              <a:t>Percentuálna zmena ENPV pri zmene vstupných premenných o +10%/-10%</a:t>
            </a:r>
          </a:p>
        </c:rich>
      </c:tx>
      <c:overlay val="0"/>
      <c:spPr>
        <a:noFill/>
        <a:ln w="25400">
          <a:noFill/>
        </a:ln>
      </c:spPr>
    </c:title>
    <c:autoTitleDeleted val="0"/>
    <c:plotArea>
      <c:layout/>
      <c:barChart>
        <c:barDir val="bar"/>
        <c:grouping val="clustered"/>
        <c:varyColors val="0"/>
        <c:ser>
          <c:idx val="0"/>
          <c:order val="0"/>
          <c:tx>
            <c:strRef>
              <c:f>'Analýza citl.  ENPV - nákup'!$C$143</c:f>
              <c:strCache>
                <c:ptCount val="1"/>
                <c:pt idx="0">
                  <c:v>zmena ENPV
pri 10% zmene vstupnej premennej
</c:v>
                </c:pt>
              </c:strCache>
            </c:strRef>
          </c:tx>
          <c:spPr>
            <a:solidFill>
              <a:srgbClr val="4F81BD"/>
            </a:solidFill>
            <a:ln w="25400">
              <a:noFill/>
            </a:ln>
          </c:spPr>
          <c:invertIfNegative val="0"/>
          <c:cat>
            <c:strRef>
              <c:f>'Analýza citl.  ENPV - nákup'!$B$144:$B$149</c:f>
              <c:strCache>
                <c:ptCount val="6"/>
                <c:pt idx="0">
                  <c:v>Vstupná premenná:
Investičné náklady</c:v>
                </c:pt>
                <c:pt idx="1">
                  <c:v>Vstupná premenná:
Prevádzkové náklady</c:v>
                </c:pt>
                <c:pt idx="2">
                  <c:v>Vstupná premenná:
Počet cestujúcich</c:v>
                </c:pt>
                <c:pt idx="3">
                  <c:v>Vstupná premenná:
Úspora času cestujúci</c:v>
                </c:pt>
                <c:pt idx="4">
                  <c:v>Vstupná premenná:
Úspora času prípr. vlaku</c:v>
                </c:pt>
                <c:pt idx="5">
                  <c:v>Vstupná premenná:
Zostatková hodnota</c:v>
                </c:pt>
              </c:strCache>
            </c:strRef>
          </c:cat>
          <c:val>
            <c:numRef>
              <c:f>'Analýza citl.  ENPV - nákup'!$C$144:$C$149</c:f>
              <c:numCache>
                <c:formatCode>0.00%</c:formatCode>
                <c:ptCount val="6"/>
                <c:pt idx="0">
                  <c:v>-0.25435204075207152</c:v>
                </c:pt>
                <c:pt idx="1">
                  <c:v>0.29944437433164794</c:v>
                </c:pt>
                <c:pt idx="2">
                  <c:v>2.4266681667811651E-2</c:v>
                </c:pt>
                <c:pt idx="3">
                  <c:v>2.4266681667811429E-2</c:v>
                </c:pt>
                <c:pt idx="4">
                  <c:v>1.6798173803713734E-3</c:v>
                </c:pt>
                <c:pt idx="5">
                  <c:v>2.8957804374480922E-2</c:v>
                </c:pt>
              </c:numCache>
            </c:numRef>
          </c:val>
          <c:extLst>
            <c:ext xmlns:c16="http://schemas.microsoft.com/office/drawing/2014/chart" uri="{C3380CC4-5D6E-409C-BE32-E72D297353CC}">
              <c16:uniqueId val="{00000000-4E24-0A42-A3F8-FEABFC42442E}"/>
            </c:ext>
          </c:extLst>
        </c:ser>
        <c:ser>
          <c:idx val="1"/>
          <c:order val="1"/>
          <c:tx>
            <c:strRef>
              <c:f>'Analýza citl.  ENPV - nákup'!$E$143</c:f>
              <c:strCache>
                <c:ptCount val="1"/>
                <c:pt idx="0">
                  <c:v>zmena ENPV
pri -10% zmene vstupnej premennej
</c:v>
                </c:pt>
              </c:strCache>
            </c:strRef>
          </c:tx>
          <c:spPr>
            <a:solidFill>
              <a:srgbClr val="C0504D"/>
            </a:solidFill>
            <a:ln w="25400">
              <a:noFill/>
            </a:ln>
          </c:spPr>
          <c:invertIfNegative val="0"/>
          <c:cat>
            <c:strRef>
              <c:f>'Analýza citl.  ENPV - nákup'!$B$144:$B$149</c:f>
              <c:strCache>
                <c:ptCount val="6"/>
                <c:pt idx="0">
                  <c:v>Vstupná premenná:
Investičné náklady</c:v>
                </c:pt>
                <c:pt idx="1">
                  <c:v>Vstupná premenná:
Prevádzkové náklady</c:v>
                </c:pt>
                <c:pt idx="2">
                  <c:v>Vstupná premenná:
Počet cestujúcich</c:v>
                </c:pt>
                <c:pt idx="3">
                  <c:v>Vstupná premenná:
Úspora času cestujúci</c:v>
                </c:pt>
                <c:pt idx="4">
                  <c:v>Vstupná premenná:
Úspora času prípr. vlaku</c:v>
                </c:pt>
                <c:pt idx="5">
                  <c:v>Vstupná premenná:
Zostatková hodnota</c:v>
                </c:pt>
              </c:strCache>
            </c:strRef>
          </c:cat>
          <c:val>
            <c:numRef>
              <c:f>'Analýza citl.  ENPV - nákup'!$E$144:$E$149</c:f>
              <c:numCache>
                <c:formatCode>0.00%</c:formatCode>
                <c:ptCount val="6"/>
                <c:pt idx="0">
                  <c:v>0.25435204075207096</c:v>
                </c:pt>
                <c:pt idx="1">
                  <c:v>-0.29944437433164839</c:v>
                </c:pt>
                <c:pt idx="2">
                  <c:v>-2.4266681667812207E-2</c:v>
                </c:pt>
                <c:pt idx="3">
                  <c:v>-2.4266681667812207E-2</c:v>
                </c:pt>
                <c:pt idx="4">
                  <c:v>-1.6798173803720395E-3</c:v>
                </c:pt>
                <c:pt idx="5">
                  <c:v>-2.8957804374481366E-2</c:v>
                </c:pt>
              </c:numCache>
            </c:numRef>
          </c:val>
          <c:extLst>
            <c:ext xmlns:c16="http://schemas.microsoft.com/office/drawing/2014/chart" uri="{C3380CC4-5D6E-409C-BE32-E72D297353CC}">
              <c16:uniqueId val="{00000001-4E24-0A42-A3F8-FEABFC42442E}"/>
            </c:ext>
          </c:extLst>
        </c:ser>
        <c:dLbls>
          <c:showLegendKey val="0"/>
          <c:showVal val="0"/>
          <c:showCatName val="0"/>
          <c:showSerName val="0"/>
          <c:showPercent val="0"/>
          <c:showBubbleSize val="0"/>
        </c:dLbls>
        <c:gapWidth val="182"/>
        <c:axId val="499434832"/>
        <c:axId val="1"/>
      </c:barChart>
      <c:catAx>
        <c:axId val="499434832"/>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sk-SK"/>
          </a:p>
        </c:txPr>
        <c:crossAx val="1"/>
        <c:crosses val="autoZero"/>
        <c:auto val="1"/>
        <c:lblAlgn val="ctr"/>
        <c:lblOffset val="100"/>
        <c:noMultiLvlLbl val="0"/>
      </c:catAx>
      <c:valAx>
        <c:axId val="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ln w="9525">
            <a:noFill/>
          </a:ln>
        </c:spPr>
        <c:txPr>
          <a:bodyPr rot="0" vert="horz"/>
          <a:lstStyle/>
          <a:p>
            <a:pPr>
              <a:defRPr sz="900" b="0" i="0" u="none" strike="noStrike" baseline="0">
                <a:solidFill>
                  <a:srgbClr val="333333"/>
                </a:solidFill>
                <a:latin typeface="Calibri"/>
                <a:ea typeface="Calibri"/>
                <a:cs typeface="Calibri"/>
              </a:defRPr>
            </a:pPr>
            <a:endParaRPr lang="sk-SK"/>
          </a:p>
        </c:txPr>
        <c:crossAx val="499434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a:lstStyle/>
          <a:p>
            <a:pPr rtl="0">
              <a:defRPr sz="900" b="0" i="0" u="none" strike="noStrike" baseline="0">
                <a:solidFill>
                  <a:srgbClr val="333333"/>
                </a:solidFill>
                <a:latin typeface="Calibri"/>
                <a:ea typeface="Calibri"/>
                <a:cs typeface="Calibri"/>
              </a:defRPr>
            </a:pPr>
            <a:endParaRPr lang="sk-SK"/>
          </a:p>
        </c:txPr>
      </c:dTable>
      <c:spPr>
        <a:noFill/>
        <a:ln w="25400">
          <a:noFill/>
        </a:ln>
      </c:spPr>
    </c:plotArea>
    <c:plotVisOnly val="1"/>
    <c:dispBlanksAs val="gap"/>
    <c:showDLblsOverMax val="0"/>
  </c:chart>
  <c:spPr>
    <a:solidFill>
      <a:schemeClr val="bg1"/>
    </a:solidFill>
    <a:ln w="9525" cap="flat" cmpd="sng" algn="ctr">
      <a:solidFill>
        <a:schemeClr val="tx1"/>
      </a:solidFill>
      <a:round/>
    </a:ln>
    <a:effectLst/>
  </c:spPr>
  <c:txPr>
    <a:bodyPr/>
    <a:lstStyle/>
    <a:p>
      <a:pPr>
        <a:defRPr sz="1000" b="0" i="0" u="none" strike="noStrike" baseline="0">
          <a:solidFill>
            <a:srgbClr val="000000"/>
          </a:solidFill>
          <a:latin typeface="Calibri"/>
          <a:ea typeface="Calibri"/>
          <a:cs typeface="Calibri"/>
        </a:defRPr>
      </a:pPr>
      <a:endParaRPr lang="sk-S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ENPV</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manualLayout>
          <c:layoutTarget val="inner"/>
          <c:xMode val="edge"/>
          <c:yMode val="edge"/>
          <c:x val="0.11319616508117133"/>
          <c:y val="0.10937977114081977"/>
          <c:w val="0.850975933404711"/>
          <c:h val="0.82220768602558325"/>
        </c:manualLayout>
      </c:layout>
      <c:barChart>
        <c:barDir val="bar"/>
        <c:grouping val="stacked"/>
        <c:varyColors val="0"/>
        <c:ser>
          <c:idx val="0"/>
          <c:order val="0"/>
          <c:tx>
            <c:strRef>
              <c:f>'Analýza scenárov - nákup'!$E$31</c:f>
              <c:strCache>
                <c:ptCount val="1"/>
                <c:pt idx="0">
                  <c:v>ENPV </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BE93-D140-B854-E77846051565}"/>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BE93-D140-B854-E77846051565}"/>
              </c:ext>
            </c:extLst>
          </c:dPt>
          <c:dPt>
            <c:idx val="2"/>
            <c:invertIfNegative val="0"/>
            <c:bubble3D val="0"/>
            <c:spPr>
              <a:solidFill>
                <a:srgbClr val="92D050"/>
              </a:solidFill>
              <a:ln>
                <a:noFill/>
              </a:ln>
              <a:effectLst/>
            </c:spPr>
            <c:extLst>
              <c:ext xmlns:c16="http://schemas.microsoft.com/office/drawing/2014/chart" uri="{C3380CC4-5D6E-409C-BE32-E72D297353CC}">
                <c16:uniqueId val="{00000005-BE93-D140-B854-E77846051565}"/>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'Analýza scenárov - nákup'!$D$32:$D$34</c:f>
              <c:strCache>
                <c:ptCount val="3"/>
                <c:pt idx="0">
                  <c:v>Pesimistický scenár</c:v>
                </c:pt>
                <c:pt idx="1">
                  <c:v>Realistický scenár</c:v>
                </c:pt>
                <c:pt idx="2">
                  <c:v>Optimistický scenár</c:v>
                </c:pt>
              </c:strCache>
            </c:strRef>
          </c:cat>
          <c:val>
            <c:numRef>
              <c:f>'Analýza scenárov - nákup'!$E$32:$E$34</c:f>
              <c:numCache>
                <c:formatCode>#,##0</c:formatCode>
                <c:ptCount val="3"/>
                <c:pt idx="0">
                  <c:v>19998075.398090933</c:v>
                </c:pt>
                <c:pt idx="1">
                  <c:v>115052278.73656352</c:v>
                </c:pt>
                <c:pt idx="2">
                  <c:v>210106482.07503599</c:v>
                </c:pt>
              </c:numCache>
            </c:numRef>
          </c:val>
          <c:extLst>
            <c:ext xmlns:c16="http://schemas.microsoft.com/office/drawing/2014/chart" uri="{C3380CC4-5D6E-409C-BE32-E72D297353CC}">
              <c16:uniqueId val="{00000006-BE93-D140-B854-E77846051565}"/>
            </c:ext>
          </c:extLst>
        </c:ser>
        <c:dLbls>
          <c:dLblPos val="inEnd"/>
          <c:showLegendKey val="0"/>
          <c:showVal val="1"/>
          <c:showCatName val="0"/>
          <c:showSerName val="0"/>
          <c:showPercent val="0"/>
          <c:showBubbleSize val="0"/>
        </c:dLbls>
        <c:gapWidth val="150"/>
        <c:overlap val="100"/>
        <c:axId val="673755840"/>
        <c:axId val="657042016"/>
        <c:extLst>
          <c:ext xmlns:c15="http://schemas.microsoft.com/office/drawing/2012/chart" uri="{02D57815-91ED-43cb-92C2-25804820EDAC}">
            <c15:filteredBarSeries>
              <c15:ser>
                <c:idx val="1"/>
                <c:order val="1"/>
                <c:tx>
                  <c:strRef>
                    <c:extLst>
                      <c:ext uri="{02D57815-91ED-43cb-92C2-25804820EDAC}">
                        <c15:formulaRef>
                          <c15:sqref>'Analýza scenárov - nákup'!$F$31</c15:sqref>
                        </c15:formulaRef>
                      </c:ext>
                    </c:extLst>
                    <c:strCache>
                      <c:ptCount val="1"/>
                      <c:pt idx="0">
                        <c:v>ERR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'Analýza scenárov - nákup'!$D$32:$D$34</c15:sqref>
                        </c15:formulaRef>
                      </c:ext>
                    </c:extLst>
                    <c:strCache>
                      <c:ptCount val="3"/>
                      <c:pt idx="0">
                        <c:v>Pesimistický scenár</c:v>
                      </c:pt>
                      <c:pt idx="1">
                        <c:v>Realistický scenár</c:v>
                      </c:pt>
                      <c:pt idx="2">
                        <c:v>Optimistický scenár</c:v>
                      </c:pt>
                    </c:strCache>
                  </c:strRef>
                </c:cat>
                <c:val>
                  <c:numRef>
                    <c:extLst>
                      <c:ext uri="{02D57815-91ED-43cb-92C2-25804820EDAC}">
                        <c15:formulaRef>
                          <c15:sqref>'Analýza scenárov - nákup'!$F$32:$F$34</c15:sqref>
                        </c15:formulaRef>
                      </c:ext>
                    </c:extLst>
                    <c:numCache>
                      <c:formatCode>0.00%</c:formatCode>
                      <c:ptCount val="3"/>
                      <c:pt idx="0">
                        <c:v>6.2674521931979754E-2</c:v>
                      </c:pt>
                      <c:pt idx="1">
                        <c:v>0.25465598359280639</c:v>
                      </c:pt>
                      <c:pt idx="2">
                        <c:v>4.1302705028836426</c:v>
                      </c:pt>
                    </c:numCache>
                  </c:numRef>
                </c:val>
                <c:extLst>
                  <c:ext xmlns:c16="http://schemas.microsoft.com/office/drawing/2014/chart" uri="{C3380CC4-5D6E-409C-BE32-E72D297353CC}">
                    <c16:uniqueId val="{00000007-BE93-D140-B854-E77846051565}"/>
                  </c:ext>
                </c:extLst>
              </c15:ser>
            </c15:filteredBarSeries>
          </c:ext>
        </c:extLst>
      </c:barChart>
      <c:catAx>
        <c:axId val="673755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657042016"/>
        <c:crosses val="autoZero"/>
        <c:auto val="1"/>
        <c:lblAlgn val="ctr"/>
        <c:lblOffset val="100"/>
        <c:noMultiLvlLbl val="0"/>
      </c:catAx>
      <c:valAx>
        <c:axId val="6570420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673755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sk-S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ERR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barChart>
        <c:barDir val="col"/>
        <c:grouping val="clustered"/>
        <c:varyColors val="0"/>
        <c:ser>
          <c:idx val="1"/>
          <c:order val="1"/>
          <c:tx>
            <c:strRef>
              <c:f>'Analýza scenárov - nákup'!$F$31</c:f>
              <c:strCache>
                <c:ptCount val="1"/>
                <c:pt idx="0">
                  <c:v>ERR </c:v>
                </c:pt>
              </c:strCache>
            </c:strRef>
          </c:tx>
          <c:spPr>
            <a:solidFill>
              <a:schemeClr val="accent2"/>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853D-1549-83CE-85271CF0691B}"/>
              </c:ext>
            </c:extLst>
          </c:dPt>
          <c:dPt>
            <c:idx val="1"/>
            <c:invertIfNegative val="0"/>
            <c:bubble3D val="0"/>
            <c:spPr>
              <a:solidFill>
                <a:srgbClr val="FFC000"/>
              </a:solidFill>
              <a:ln>
                <a:noFill/>
              </a:ln>
              <a:effectLst/>
            </c:spPr>
            <c:extLst>
              <c:ext xmlns:c16="http://schemas.microsoft.com/office/drawing/2014/chart" uri="{C3380CC4-5D6E-409C-BE32-E72D297353CC}">
                <c16:uniqueId val="{00000003-853D-1549-83CE-85271CF0691B}"/>
              </c:ext>
            </c:extLst>
          </c:dPt>
          <c:dPt>
            <c:idx val="2"/>
            <c:invertIfNegative val="0"/>
            <c:bubble3D val="0"/>
            <c:spPr>
              <a:solidFill>
                <a:srgbClr val="92D050"/>
              </a:solidFill>
              <a:ln>
                <a:noFill/>
              </a:ln>
              <a:effectLst/>
            </c:spPr>
            <c:extLst>
              <c:ext xmlns:c16="http://schemas.microsoft.com/office/drawing/2014/chart" uri="{C3380CC4-5D6E-409C-BE32-E72D297353CC}">
                <c16:uniqueId val="{00000005-853D-1549-83CE-85271CF0691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'Analýza scenárov - nákup'!$D$32:$D$34</c:f>
              <c:strCache>
                <c:ptCount val="3"/>
                <c:pt idx="0">
                  <c:v>Pesimistický scenár</c:v>
                </c:pt>
                <c:pt idx="1">
                  <c:v>Realistický scenár</c:v>
                </c:pt>
                <c:pt idx="2">
                  <c:v>Optimistický scenár</c:v>
                </c:pt>
              </c:strCache>
            </c:strRef>
          </c:cat>
          <c:val>
            <c:numRef>
              <c:f>'Analýza scenárov - nákup'!$F$32:$F$34</c:f>
              <c:numCache>
                <c:formatCode>0.00%</c:formatCode>
                <c:ptCount val="3"/>
                <c:pt idx="0">
                  <c:v>6.2674521931979754E-2</c:v>
                </c:pt>
                <c:pt idx="1">
                  <c:v>0.25465598359280639</c:v>
                </c:pt>
                <c:pt idx="2">
                  <c:v>4.1302705028836426</c:v>
                </c:pt>
              </c:numCache>
            </c:numRef>
          </c:val>
          <c:extLst>
            <c:ext xmlns:c16="http://schemas.microsoft.com/office/drawing/2014/chart" uri="{C3380CC4-5D6E-409C-BE32-E72D297353CC}">
              <c16:uniqueId val="{00000006-853D-1549-83CE-85271CF0691B}"/>
            </c:ext>
          </c:extLst>
        </c:ser>
        <c:dLbls>
          <c:dLblPos val="inEnd"/>
          <c:showLegendKey val="0"/>
          <c:showVal val="1"/>
          <c:showCatName val="0"/>
          <c:showSerName val="0"/>
          <c:showPercent val="0"/>
          <c:showBubbleSize val="0"/>
        </c:dLbls>
        <c:gapWidth val="150"/>
        <c:axId val="673755840"/>
        <c:axId val="657042016"/>
        <c:extLst>
          <c:ext xmlns:c15="http://schemas.microsoft.com/office/drawing/2012/chart" uri="{02D57815-91ED-43cb-92C2-25804820EDAC}">
            <c15:filteredBarSeries>
              <c15:ser>
                <c:idx val="0"/>
                <c:order val="0"/>
                <c:tx>
                  <c:strRef>
                    <c:extLst>
                      <c:ext uri="{02D57815-91ED-43cb-92C2-25804820EDAC}">
                        <c15:formulaRef>
                          <c15:sqref>'Analýza scenárov - nákup'!$E$31</c15:sqref>
                        </c15:formulaRef>
                      </c:ext>
                    </c:extLst>
                    <c:strCache>
                      <c:ptCount val="1"/>
                      <c:pt idx="0">
                        <c:v>ENPV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'Analýza scenárov - nákup'!$D$32:$D$34</c15:sqref>
                        </c15:formulaRef>
                      </c:ext>
                    </c:extLst>
                    <c:strCache>
                      <c:ptCount val="3"/>
                      <c:pt idx="0">
                        <c:v>Pesimistický scenár</c:v>
                      </c:pt>
                      <c:pt idx="1">
                        <c:v>Realistický scenár</c:v>
                      </c:pt>
                      <c:pt idx="2">
                        <c:v>Optimistický scenár</c:v>
                      </c:pt>
                    </c:strCache>
                  </c:strRef>
                </c:cat>
                <c:val>
                  <c:numRef>
                    <c:extLst>
                      <c:ext uri="{02D57815-91ED-43cb-92C2-25804820EDAC}">
                        <c15:formulaRef>
                          <c15:sqref>'Analýza scenárov - nákup'!$E$32:$E$34</c15:sqref>
                        </c15:formulaRef>
                      </c:ext>
                    </c:extLst>
                    <c:numCache>
                      <c:formatCode>#,##0</c:formatCode>
                      <c:ptCount val="3"/>
                      <c:pt idx="0">
                        <c:v>19998075.398090933</c:v>
                      </c:pt>
                      <c:pt idx="1">
                        <c:v>115052278.73656352</c:v>
                      </c:pt>
                      <c:pt idx="2">
                        <c:v>210106482.07503599</c:v>
                      </c:pt>
                    </c:numCache>
                  </c:numRef>
                </c:val>
                <c:extLst>
                  <c:ext xmlns:c16="http://schemas.microsoft.com/office/drawing/2014/chart" uri="{C3380CC4-5D6E-409C-BE32-E72D297353CC}">
                    <c16:uniqueId val="{00000007-853D-1549-83CE-85271CF0691B}"/>
                  </c:ext>
                </c:extLst>
              </c15:ser>
            </c15:filteredBarSeries>
          </c:ext>
        </c:extLst>
      </c:barChart>
      <c:catAx>
        <c:axId val="67375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657042016"/>
        <c:crosses val="autoZero"/>
        <c:auto val="1"/>
        <c:lblAlgn val="ctr"/>
        <c:lblOffset val="100"/>
        <c:noMultiLvlLbl val="0"/>
      </c:catAx>
      <c:valAx>
        <c:axId val="6570420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673755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sk-S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FNPV_C</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barChart>
        <c:barDir val="bar"/>
        <c:grouping val="clustered"/>
        <c:varyColors val="0"/>
        <c:ser>
          <c:idx val="0"/>
          <c:order val="0"/>
          <c:tx>
            <c:strRef>
              <c:f>'Analýza scenárov - nákup'!$N$43</c:f>
              <c:strCache>
                <c:ptCount val="1"/>
                <c:pt idx="0">
                  <c:v>FNPV_C </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CE34-C545-9F80-83FFEDBA2DF5}"/>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CE34-C545-9F80-83FFEDBA2DF5}"/>
              </c:ext>
            </c:extLst>
          </c:dPt>
          <c:dPt>
            <c:idx val="2"/>
            <c:invertIfNegative val="0"/>
            <c:bubble3D val="0"/>
            <c:spPr>
              <a:solidFill>
                <a:srgbClr val="92D050"/>
              </a:solidFill>
              <a:ln>
                <a:noFill/>
              </a:ln>
              <a:effectLst/>
            </c:spPr>
            <c:extLst>
              <c:ext xmlns:c16="http://schemas.microsoft.com/office/drawing/2014/chart" uri="{C3380CC4-5D6E-409C-BE32-E72D297353CC}">
                <c16:uniqueId val="{00000005-CE34-C545-9F80-83FFEDBA2DF5}"/>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'Analýza scenárov - nákup'!$M$44:$M$46</c:f>
              <c:strCache>
                <c:ptCount val="3"/>
                <c:pt idx="0">
                  <c:v>Pesimistický scenár</c:v>
                </c:pt>
                <c:pt idx="1">
                  <c:v>Realisticky scenár </c:v>
                </c:pt>
                <c:pt idx="2">
                  <c:v>Optimistický scenár</c:v>
                </c:pt>
              </c:strCache>
            </c:strRef>
          </c:cat>
          <c:val>
            <c:numRef>
              <c:f>'Analýza scenárov - nákup'!$N$44:$N$46</c:f>
              <c:numCache>
                <c:formatCode>#,##0</c:formatCode>
                <c:ptCount val="3"/>
                <c:pt idx="0">
                  <c:v>269772634.99502164</c:v>
                </c:pt>
                <c:pt idx="1">
                  <c:v>419627150.14541209</c:v>
                </c:pt>
                <c:pt idx="2">
                  <c:v>569481665.29580247</c:v>
                </c:pt>
              </c:numCache>
            </c:numRef>
          </c:val>
          <c:extLst>
            <c:ext xmlns:c16="http://schemas.microsoft.com/office/drawing/2014/chart" uri="{C3380CC4-5D6E-409C-BE32-E72D297353CC}">
              <c16:uniqueId val="{00000006-CE34-C545-9F80-83FFEDBA2DF5}"/>
            </c:ext>
          </c:extLst>
        </c:ser>
        <c:dLbls>
          <c:dLblPos val="inEnd"/>
          <c:showLegendKey val="0"/>
          <c:showVal val="1"/>
          <c:showCatName val="0"/>
          <c:showSerName val="0"/>
          <c:showPercent val="0"/>
          <c:showBubbleSize val="0"/>
        </c:dLbls>
        <c:gapWidth val="182"/>
        <c:axId val="728848056"/>
        <c:axId val="728856584"/>
        <c:extLst>
          <c:ext xmlns:c15="http://schemas.microsoft.com/office/drawing/2012/chart" uri="{02D57815-91ED-43cb-92C2-25804820EDAC}">
            <c15:filteredBarSeries>
              <c15:ser>
                <c:idx val="1"/>
                <c:order val="1"/>
                <c:tx>
                  <c:strRef>
                    <c:extLst>
                      <c:ext uri="{02D57815-91ED-43cb-92C2-25804820EDAC}">
                        <c15:formulaRef>
                          <c15:sqref>'Analýza scenárov - nákup'!$O$43</c15:sqref>
                        </c15:formulaRef>
                      </c:ext>
                    </c:extLst>
                    <c:strCache>
                      <c:ptCount val="1"/>
                      <c:pt idx="0">
                        <c:v>FRR_C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'Analýza scenárov - nákup'!$M$44:$M$46</c15:sqref>
                        </c15:formulaRef>
                      </c:ext>
                    </c:extLst>
                    <c:strCache>
                      <c:ptCount val="3"/>
                      <c:pt idx="0">
                        <c:v>Pesimistický scenár</c:v>
                      </c:pt>
                      <c:pt idx="1">
                        <c:v>Realisticky scenár </c:v>
                      </c:pt>
                      <c:pt idx="2">
                        <c:v>Optimistický scenár</c:v>
                      </c:pt>
                    </c:strCache>
                  </c:strRef>
                </c:cat>
                <c:val>
                  <c:numRef>
                    <c:extLst>
                      <c:ext uri="{02D57815-91ED-43cb-92C2-25804820EDAC}">
                        <c15:formulaRef>
                          <c15:sqref>'Analýza scenárov - nákup'!$O$44:$O$46</c15:sqref>
                        </c15:formulaRef>
                      </c:ext>
                    </c:extLst>
                    <c:numCache>
                      <c:formatCode>0.00%</c:formatCode>
                      <c:ptCount val="3"/>
                      <c:pt idx="0">
                        <c:v>0.16376316661798462</c:v>
                      </c:pt>
                      <c:pt idx="1">
                        <c:v>0.55728325666490108</c:v>
                      </c:pt>
                      <c:pt idx="2">
                        <c:v>4.3916066512506395</c:v>
                      </c:pt>
                    </c:numCache>
                  </c:numRef>
                </c:val>
                <c:extLst>
                  <c:ext xmlns:c16="http://schemas.microsoft.com/office/drawing/2014/chart" uri="{C3380CC4-5D6E-409C-BE32-E72D297353CC}">
                    <c16:uniqueId val="{00000007-CE34-C545-9F80-83FFEDBA2DF5}"/>
                  </c:ext>
                </c:extLst>
              </c15:ser>
            </c15:filteredBarSeries>
          </c:ext>
        </c:extLst>
      </c:barChart>
      <c:catAx>
        <c:axId val="728848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728856584"/>
        <c:crosses val="autoZero"/>
        <c:auto val="1"/>
        <c:lblAlgn val="ctr"/>
        <c:lblOffset val="100"/>
        <c:noMultiLvlLbl val="0"/>
      </c:catAx>
      <c:valAx>
        <c:axId val="7288565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728848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sk-S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FRR_C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barChart>
        <c:barDir val="col"/>
        <c:grouping val="clustered"/>
        <c:varyColors val="0"/>
        <c:ser>
          <c:idx val="1"/>
          <c:order val="1"/>
          <c:tx>
            <c:strRef>
              <c:f>'Analýza scenárov - nákup'!$O$43</c:f>
              <c:strCache>
                <c:ptCount val="1"/>
                <c:pt idx="0">
                  <c:v>FRR_C </c:v>
                </c:pt>
              </c:strCache>
            </c:strRef>
          </c:tx>
          <c:spPr>
            <a:solidFill>
              <a:schemeClr val="accent2"/>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1-60A9-4649-B85E-8553B187A26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60A9-4649-B85E-8553B187A260}"/>
              </c:ext>
            </c:extLst>
          </c:dPt>
          <c:dPt>
            <c:idx val="2"/>
            <c:invertIfNegative val="0"/>
            <c:bubble3D val="0"/>
            <c:spPr>
              <a:solidFill>
                <a:srgbClr val="92D050"/>
              </a:solidFill>
              <a:ln>
                <a:noFill/>
              </a:ln>
              <a:effectLst/>
            </c:spPr>
            <c:extLst>
              <c:ext xmlns:c16="http://schemas.microsoft.com/office/drawing/2014/chart" uri="{C3380CC4-5D6E-409C-BE32-E72D297353CC}">
                <c16:uniqueId val="{00000005-60A9-4649-B85E-8553B187A260}"/>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'Analýza scenárov - nákup'!$M$44:$M$46</c:f>
              <c:strCache>
                <c:ptCount val="3"/>
                <c:pt idx="0">
                  <c:v>Pesimistický scenár</c:v>
                </c:pt>
                <c:pt idx="1">
                  <c:v>Realisticky scenár </c:v>
                </c:pt>
                <c:pt idx="2">
                  <c:v>Optimistický scenár</c:v>
                </c:pt>
              </c:strCache>
            </c:strRef>
          </c:cat>
          <c:val>
            <c:numRef>
              <c:f>'Analýza scenárov - nákup'!$O$44:$O$46</c:f>
              <c:numCache>
                <c:formatCode>0.00%</c:formatCode>
                <c:ptCount val="3"/>
                <c:pt idx="0">
                  <c:v>0.16376316661798462</c:v>
                </c:pt>
                <c:pt idx="1">
                  <c:v>0.55728325666490108</c:v>
                </c:pt>
                <c:pt idx="2">
                  <c:v>4.3916066512506395</c:v>
                </c:pt>
              </c:numCache>
            </c:numRef>
          </c:val>
          <c:extLst>
            <c:ext xmlns:c16="http://schemas.microsoft.com/office/drawing/2014/chart" uri="{C3380CC4-5D6E-409C-BE32-E72D297353CC}">
              <c16:uniqueId val="{00000006-60A9-4649-B85E-8553B187A260}"/>
            </c:ext>
          </c:extLst>
        </c:ser>
        <c:dLbls>
          <c:dLblPos val="inEnd"/>
          <c:showLegendKey val="0"/>
          <c:showVal val="1"/>
          <c:showCatName val="0"/>
          <c:showSerName val="0"/>
          <c:showPercent val="0"/>
          <c:showBubbleSize val="0"/>
        </c:dLbls>
        <c:gapWidth val="182"/>
        <c:axId val="728848056"/>
        <c:axId val="728856584"/>
        <c:extLst>
          <c:ext xmlns:c15="http://schemas.microsoft.com/office/drawing/2012/chart" uri="{02D57815-91ED-43cb-92C2-25804820EDAC}">
            <c15:filteredBarSeries>
              <c15:ser>
                <c:idx val="0"/>
                <c:order val="0"/>
                <c:tx>
                  <c:strRef>
                    <c:extLst>
                      <c:ext uri="{02D57815-91ED-43cb-92C2-25804820EDAC}">
                        <c15:formulaRef>
                          <c15:sqref>'Analýza scenárov - nákup'!$N$43</c15:sqref>
                        </c15:formulaRef>
                      </c:ext>
                    </c:extLst>
                    <c:strCache>
                      <c:ptCount val="1"/>
                      <c:pt idx="0">
                        <c:v>FNPV_C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k-SK"/>
                    </a:p>
                  </c:txPr>
                  <c:dLblPos val="in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'Analýza scenárov - nákup'!$M$44:$M$46</c15:sqref>
                        </c15:formulaRef>
                      </c:ext>
                    </c:extLst>
                    <c:strCache>
                      <c:ptCount val="3"/>
                      <c:pt idx="0">
                        <c:v>Pesimistický scenár</c:v>
                      </c:pt>
                      <c:pt idx="1">
                        <c:v>Realisticky scenár </c:v>
                      </c:pt>
                      <c:pt idx="2">
                        <c:v>Optimistický scenár</c:v>
                      </c:pt>
                    </c:strCache>
                  </c:strRef>
                </c:cat>
                <c:val>
                  <c:numRef>
                    <c:extLst>
                      <c:ext uri="{02D57815-91ED-43cb-92C2-25804820EDAC}">
                        <c15:formulaRef>
                          <c15:sqref>'Analýza scenárov - nákup'!$N$44:$N$46</c15:sqref>
                        </c15:formulaRef>
                      </c:ext>
                    </c:extLst>
                    <c:numCache>
                      <c:formatCode>#,##0</c:formatCode>
                      <c:ptCount val="3"/>
                      <c:pt idx="0">
                        <c:v>269772634.99502164</c:v>
                      </c:pt>
                      <c:pt idx="1">
                        <c:v>419627150.14541209</c:v>
                      </c:pt>
                      <c:pt idx="2">
                        <c:v>569481665.29580247</c:v>
                      </c:pt>
                    </c:numCache>
                  </c:numRef>
                </c:val>
                <c:extLst>
                  <c:ext xmlns:c16="http://schemas.microsoft.com/office/drawing/2014/chart" uri="{C3380CC4-5D6E-409C-BE32-E72D297353CC}">
                    <c16:uniqueId val="{00000007-60A9-4649-B85E-8553B187A260}"/>
                  </c:ext>
                </c:extLst>
              </c15:ser>
            </c15:filteredBarSeries>
          </c:ext>
        </c:extLst>
      </c:barChart>
      <c:catAx>
        <c:axId val="728848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728856584"/>
        <c:crosses val="autoZero"/>
        <c:auto val="1"/>
        <c:lblAlgn val="ctr"/>
        <c:lblOffset val="100"/>
        <c:noMultiLvlLbl val="0"/>
      </c:catAx>
      <c:valAx>
        <c:axId val="7288565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728848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sk-S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FNP</a:t>
            </a:r>
            <a:r>
              <a:rPr lang="cs-CZ" sz="1800" b="1" i="0" baseline="0">
                <a:effectLst/>
              </a:rPr>
              <a:t>V_C</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manualLayout>
          <c:layoutTarget val="inner"/>
          <c:xMode val="edge"/>
          <c:yMode val="edge"/>
          <c:x val="4.5439559039436722E-2"/>
          <c:y val="0.16980292565621882"/>
          <c:w val="0.72181933508311469"/>
          <c:h val="0.5847378973461651"/>
        </c:manualLayout>
      </c:layout>
      <c:areaChart>
        <c:grouping val="standard"/>
        <c:varyColors val="0"/>
        <c:ser>
          <c:idx val="0"/>
          <c:order val="0"/>
          <c:tx>
            <c:v>FNPV_C &gt;= 0 (pravdepodobnosť 0.7094)</c:v>
          </c:tx>
          <c:spPr>
            <a:solidFill>
              <a:schemeClr val="accent1"/>
            </a:solidFill>
            <a:ln>
              <a:noFill/>
            </a:ln>
            <a:effectLst/>
          </c:spPr>
          <c:cat>
            <c:numLit>
              <c:formatCode>#,##0</c:formatCode>
              <c:ptCount val="90"/>
              <c:pt idx="0">
                <c:v>-2221870745.9664297</c:v>
              </c:pt>
              <c:pt idx="1">
                <c:v>-2161870745.9664297</c:v>
              </c:pt>
              <c:pt idx="2">
                <c:v>-2101870745.9664297</c:v>
              </c:pt>
              <c:pt idx="3">
                <c:v>-2041870745.9664297</c:v>
              </c:pt>
              <c:pt idx="4">
                <c:v>-1981870745.9664297</c:v>
              </c:pt>
              <c:pt idx="5">
                <c:v>-1921870745.9664297</c:v>
              </c:pt>
              <c:pt idx="6">
                <c:v>-1861870745.9664297</c:v>
              </c:pt>
              <c:pt idx="7">
                <c:v>-1801870745.9664297</c:v>
              </c:pt>
              <c:pt idx="8">
                <c:v>-1741870745.9664297</c:v>
              </c:pt>
              <c:pt idx="9">
                <c:v>-1681870745.9664297</c:v>
              </c:pt>
              <c:pt idx="10">
                <c:v>-1621870745.9664297</c:v>
              </c:pt>
              <c:pt idx="11">
                <c:v>-1561870745.9664297</c:v>
              </c:pt>
              <c:pt idx="12">
                <c:v>-1501870745.9664297</c:v>
              </c:pt>
              <c:pt idx="13">
                <c:v>-1441870745.9664297</c:v>
              </c:pt>
              <c:pt idx="14">
                <c:v>-1381870745.9664297</c:v>
              </c:pt>
              <c:pt idx="15">
                <c:v>-1321870745.9664297</c:v>
              </c:pt>
              <c:pt idx="16">
                <c:v>-1261870745.9664297</c:v>
              </c:pt>
              <c:pt idx="17">
                <c:v>-1201870745.9664297</c:v>
              </c:pt>
              <c:pt idx="18">
                <c:v>-1141870745.9664297</c:v>
              </c:pt>
              <c:pt idx="19">
                <c:v>-1081870745.9664297</c:v>
              </c:pt>
              <c:pt idx="20">
                <c:v>-1021870745.9664297</c:v>
              </c:pt>
              <c:pt idx="21">
                <c:v>-961870745.96642971</c:v>
              </c:pt>
              <c:pt idx="22">
                <c:v>-901870745.96642971</c:v>
              </c:pt>
              <c:pt idx="23">
                <c:v>-841870745.96642971</c:v>
              </c:pt>
              <c:pt idx="24">
                <c:v>-781870745.96642971</c:v>
              </c:pt>
              <c:pt idx="25">
                <c:v>-721870745.96642971</c:v>
              </c:pt>
              <c:pt idx="26">
                <c:v>-661870745.96642971</c:v>
              </c:pt>
              <c:pt idx="27">
                <c:v>-601870745.96642971</c:v>
              </c:pt>
              <c:pt idx="28">
                <c:v>-541870745.96642971</c:v>
              </c:pt>
              <c:pt idx="29">
                <c:v>-481870745.96642971</c:v>
              </c:pt>
              <c:pt idx="30">
                <c:v>-421870745.96642971</c:v>
              </c:pt>
              <c:pt idx="31">
                <c:v>-361870745.96642971</c:v>
              </c:pt>
              <c:pt idx="32">
                <c:v>-301870745.96642971</c:v>
              </c:pt>
              <c:pt idx="33">
                <c:v>-241870745.96642971</c:v>
              </c:pt>
              <c:pt idx="34">
                <c:v>-181870745.96642971</c:v>
              </c:pt>
              <c:pt idx="35">
                <c:v>-121870745.96642971</c:v>
              </c:pt>
              <c:pt idx="36">
                <c:v>-61870745.96642971</c:v>
              </c:pt>
              <c:pt idx="37">
                <c:v>-1870745.9664297104</c:v>
              </c:pt>
              <c:pt idx="38">
                <c:v>58129254.03357029</c:v>
              </c:pt>
              <c:pt idx="39">
                <c:v>118129254.03357029</c:v>
              </c:pt>
              <c:pt idx="40">
                <c:v>178129254.03357029</c:v>
              </c:pt>
              <c:pt idx="41">
                <c:v>238129254.03357029</c:v>
              </c:pt>
              <c:pt idx="42">
                <c:v>298129254.03357029</c:v>
              </c:pt>
              <c:pt idx="43">
                <c:v>358129254.03357029</c:v>
              </c:pt>
              <c:pt idx="44">
                <c:v>418129254.03357029</c:v>
              </c:pt>
              <c:pt idx="45">
                <c:v>478129254.03357029</c:v>
              </c:pt>
              <c:pt idx="46">
                <c:v>538129254.03357029</c:v>
              </c:pt>
              <c:pt idx="47">
                <c:v>598129254.03357029</c:v>
              </c:pt>
              <c:pt idx="48">
                <c:v>658129254.03357029</c:v>
              </c:pt>
              <c:pt idx="49">
                <c:v>718129254.03357029</c:v>
              </c:pt>
              <c:pt idx="50">
                <c:v>778129254.03357029</c:v>
              </c:pt>
              <c:pt idx="51">
                <c:v>838129254.03357029</c:v>
              </c:pt>
              <c:pt idx="52">
                <c:v>898129254.03357029</c:v>
              </c:pt>
              <c:pt idx="53">
                <c:v>958129254.03357029</c:v>
              </c:pt>
              <c:pt idx="54">
                <c:v>1018129254.0335703</c:v>
              </c:pt>
              <c:pt idx="55">
                <c:v>1078129254.0335703</c:v>
              </c:pt>
              <c:pt idx="56">
                <c:v>1138129254.0335703</c:v>
              </c:pt>
              <c:pt idx="57">
                <c:v>1198129254.0335703</c:v>
              </c:pt>
              <c:pt idx="58">
                <c:v>1258129254.0335703</c:v>
              </c:pt>
              <c:pt idx="59">
                <c:v>1318129254.0335703</c:v>
              </c:pt>
              <c:pt idx="60">
                <c:v>1378129254.0335703</c:v>
              </c:pt>
              <c:pt idx="61">
                <c:v>1438129254.0335703</c:v>
              </c:pt>
              <c:pt idx="62">
                <c:v>1498129254.0335703</c:v>
              </c:pt>
              <c:pt idx="63">
                <c:v>1558129254.0335703</c:v>
              </c:pt>
              <c:pt idx="64">
                <c:v>1618129254.0335703</c:v>
              </c:pt>
              <c:pt idx="65">
                <c:v>1678129254.0335703</c:v>
              </c:pt>
              <c:pt idx="66">
                <c:v>1738129254.0335703</c:v>
              </c:pt>
              <c:pt idx="67">
                <c:v>1798129254.0335703</c:v>
              </c:pt>
              <c:pt idx="68">
                <c:v>1858129254.0335703</c:v>
              </c:pt>
              <c:pt idx="69">
                <c:v>1918129254.0335703</c:v>
              </c:pt>
              <c:pt idx="70">
                <c:v>1978129254.0335703</c:v>
              </c:pt>
              <c:pt idx="71">
                <c:v>2038129254.0335703</c:v>
              </c:pt>
              <c:pt idx="72">
                <c:v>2098129254.0335703</c:v>
              </c:pt>
              <c:pt idx="73">
                <c:v>2158129254.0335703</c:v>
              </c:pt>
              <c:pt idx="74">
                <c:v>2218129254.0335703</c:v>
              </c:pt>
              <c:pt idx="75">
                <c:v>2278129254.0335703</c:v>
              </c:pt>
              <c:pt idx="76">
                <c:v>2338129254.0335703</c:v>
              </c:pt>
              <c:pt idx="77">
                <c:v>2398129254.0335703</c:v>
              </c:pt>
              <c:pt idx="78">
                <c:v>2458129254.0335703</c:v>
              </c:pt>
              <c:pt idx="79">
                <c:v>2518129254.0335703</c:v>
              </c:pt>
              <c:pt idx="80">
                <c:v>2578129254.0335703</c:v>
              </c:pt>
              <c:pt idx="81">
                <c:v>2638129254.0335703</c:v>
              </c:pt>
              <c:pt idx="82">
                <c:v>2698129254.0335703</c:v>
              </c:pt>
              <c:pt idx="83">
                <c:v>2758129254.0335703</c:v>
              </c:pt>
              <c:pt idx="84">
                <c:v>2818129254.0335703</c:v>
              </c:pt>
              <c:pt idx="85">
                <c:v>2878129254.0335703</c:v>
              </c:pt>
              <c:pt idx="86">
                <c:v>2938129254.0335703</c:v>
              </c:pt>
              <c:pt idx="87">
                <c:v>2998129254.0335703</c:v>
              </c:pt>
              <c:pt idx="88">
                <c:v>3058129254.0335703</c:v>
              </c:pt>
              <c:pt idx="89">
                <c:v>3118129254.0335703</c:v>
              </c:pt>
            </c:numLit>
          </c:cat>
          <c:val>
            <c:numLit>
              <c:formatCode>#\ ##0.0000000000000000000000</c:formatCode>
              <c:ptCount val="90"/>
              <c:pt idx="0">
                <c:v>2.0770828195496589E-13</c:v>
              </c:pt>
              <c:pt idx="1">
                <c:v>3.0015095866552994E-13</c:v>
              </c:pt>
              <c:pt idx="2">
                <c:v>4.299912386676527E-13</c:v>
              </c:pt>
              <c:pt idx="3">
                <c:v>6.1067962334731138E-13</c:v>
              </c:pt>
              <c:pt idx="4">
                <c:v>8.59807446379861E-13</c:v>
              </c:pt>
              <c:pt idx="5">
                <c:v>1.2001151701676694E-12</c:v>
              </c:pt>
              <c:pt idx="6">
                <c:v>1.6606518727336197E-12</c:v>
              </c:pt>
              <c:pt idx="7">
                <c:v>2.2780760813082075E-12</c:v>
              </c:pt>
              <c:pt idx="8">
                <c:v>3.0980740880198272E-12</c:v>
              </c:pt>
              <c:pt idx="9">
                <c:v>4.1768542895965143E-12</c:v>
              </c:pt>
              <c:pt idx="10">
                <c:v>5.5826551470668171E-12</c:v>
              </c:pt>
              <c:pt idx="11">
                <c:v>7.397180705089422E-12</c:v>
              </c:pt>
              <c:pt idx="12">
                <c:v>9.7168523943839367E-12</c:v>
              </c:pt>
              <c:pt idx="13">
                <c:v>1.265374078194346E-11</c:v>
              </c:pt>
              <c:pt idx="14">
                <c:v>1.6336018326765808E-11</c:v>
              </c:pt>
              <c:pt idx="15">
                <c:v>2.0907756861380885E-11</c:v>
              </c:pt>
              <c:pt idx="16">
                <c:v>2.6527884658099946E-11</c:v>
              </c:pt>
              <c:pt idx="17">
                <c:v>3.3368120926078666E-11</c:v>
              </c:pt>
              <c:pt idx="18">
                <c:v>4.1609723647199941E-11</c:v>
              </c:pt>
              <c:pt idx="19">
                <c:v>5.1438922487248055E-11</c:v>
              </c:pt>
              <c:pt idx="20">
                <c:v>6.304096383326714E-11</c:v>
              </c:pt>
              <c:pt idx="21">
                <c:v>7.6592770108635491E-11</c:v>
              </c:pt>
              <c:pt idx="22">
                <c:v>9.2254308883275372E-11</c:v>
              </c:pt>
              <c:pt idx="23">
                <c:v>1.1015887528962902E-10</c:v>
              </c:pt>
              <c:pt idx="24">
                <c:v>1.304026079944312E-10</c:v>
              </c:pt>
              <c:pt idx="25">
                <c:v>1.5303367643700062E-10</c:v>
              </c:pt>
              <c:pt idx="26">
                <c:v>1.7804168542241174E-10</c:v>
              </c:pt>
              <c:pt idx="27">
                <c:v>2.0534793151132833E-10</c:v>
              </c:pt>
              <c:pt idx="28">
                <c:v>2.3479720279974891E-10</c:v>
              </c:pt>
              <c:pt idx="29">
                <c:v>2.6615182931702276E-10</c:v>
              </c:pt>
              <c:pt idx="30">
                <c:v>2.9908865714211794E-10</c:v>
              </c:pt>
              <c:pt idx="31">
                <c:v>3.3319953044850516E-10</c:v>
              </c:pt>
              <c:pt idx="32">
                <c:v>3.6799572130383344E-10</c:v>
              </c:pt>
              <c:pt idx="33">
                <c:v>4.029165514040762E-10</c:v>
              </c:pt>
              <c:pt idx="34">
                <c:v>4.3734221246887055E-10</c:v>
              </c:pt>
              <c:pt idx="35">
                <c:v>4.7061052716844555E-10</c:v>
              </c:pt>
              <c:pt idx="36">
                <c:v>5.0203711869691575E-10</c:v>
              </c:pt>
              <c:pt idx="37">
                <c:v>5.3093819567254783E-10</c:v>
              </c:pt>
              <c:pt idx="38">
                <c:v>5.5665493205093454E-10</c:v>
              </c:pt>
              <c:pt idx="39">
                <c:v>5.7857825011079561E-10</c:v>
              </c:pt>
              <c:pt idx="40">
                <c:v>5.9617271591775763E-10</c:v>
              </c:pt>
              <c:pt idx="41">
                <c:v>6.0899824332182404E-10</c:v>
              </c:pt>
              <c:pt idx="42">
                <c:v>6.1672838004425698E-10</c:v>
              </c:pt>
              <c:pt idx="43">
                <c:v>6.1916411562573844E-10</c:v>
              </c:pt>
              <c:pt idx="44">
                <c:v>6.1624239599800773E-10</c:v>
              </c:pt>
              <c:pt idx="45">
                <c:v>6.0803883613405798E-10</c:v>
              </c:pt>
              <c:pt idx="46">
                <c:v>5.947644678646812E-10</c:v>
              </c:pt>
              <c:pt idx="47">
                <c:v>5.7675671812514153E-10</c:v>
              </c:pt>
              <c:pt idx="48">
                <c:v>5.5446515604149481E-10</c:v>
              </c:pt>
              <c:pt idx="49">
                <c:v>5.2843284921800463E-10</c:v>
              </c:pt>
              <c:pt idx="50">
                <c:v>4.9927440802279574E-10</c:v>
              </c:pt>
              <c:pt idx="51">
                <c:v>4.6765195511604099E-10</c:v>
              </c:pt>
              <c:pt idx="52">
                <c:v>4.3425032667555672E-10</c:v>
              </c:pt>
              <c:pt idx="53">
                <c:v>3.9975279033061495E-10</c:v>
              </c:pt>
              <c:pt idx="54">
                <c:v>3.6481845892545491E-10</c:v>
              </c:pt>
              <c:pt idx="55">
                <c:v>3.3006240178213833E-10</c:v>
              </c:pt>
              <c:pt idx="56">
                <c:v>2.9603922410872479E-10</c:v>
              </c:pt>
              <c:pt idx="57">
                <c:v>2.6323062172954946E-10</c:v>
              </c:pt>
              <c:pt idx="58">
                <c:v>2.3203714451977278E-10</c:v>
              </c:pt>
              <c:pt idx="59">
                <c:v>2.0277413884979104E-10</c:v>
              </c:pt>
              <c:pt idx="60">
                <c:v>1.756716051674633E-10</c:v>
              </c:pt>
              <c:pt idx="61">
                <c:v>1.5087751554719015E-10</c:v>
              </c:pt>
              <c:pt idx="62">
                <c:v>1.2846399659860951E-10</c:v>
              </c:pt>
              <c:pt idx="63">
                <c:v>1.0843569931679757E-10</c:v>
              </c:pt>
              <c:pt idx="64">
                <c:v>9.0739648114673165E-11</c:v>
              </c:pt>
              <c:pt idx="65">
                <c:v>7.5275881068134884E-11</c:v>
              </c:pt>
              <c:pt idx="66">
                <c:v>6.1908253840075469E-11</c:v>
              </c:pt>
              <c:pt idx="67">
                <c:v>5.0474870388908408E-11</c:v>
              </c:pt>
              <c:pt idx="68">
                <c:v>4.079771321136525E-11</c:v>
              </c:pt>
              <c:pt idx="69">
                <c:v>3.2691163646610547E-11</c:v>
              </c:pt>
              <c:pt idx="70">
                <c:v>2.5969219014204271E-11</c:v>
              </c:pt>
              <c:pt idx="71">
                <c:v>2.0451320231197418E-11</c:v>
              </c:pt>
              <c:pt idx="72">
                <c:v>1.5966795376110677E-11</c:v>
              </c:pt>
              <c:pt idx="73">
                <c:v>1.2357998002425261E-11</c:v>
              </c:pt>
              <c:pt idx="74">
                <c:v>9.4822725103924847E-12</c:v>
              </c:pt>
              <c:pt idx="75">
                <c:v>7.2129130104209142E-12</c:v>
              </c:pt>
              <c:pt idx="76">
                <c:v>5.4392986805118672E-12</c:v>
              </c:pt>
              <c:pt idx="77">
                <c:v>4.0663903921720642E-12</c:v>
              </c:pt>
              <c:pt idx="78">
                <c:v>3.01376360850066E-12</c:v>
              </c:pt>
              <c:pt idx="79">
                <c:v>2.2143346136701768E-12</c:v>
              </c:pt>
              <c:pt idx="80">
                <c:v>1.6129141939150438E-12</c:v>
              </c:pt>
              <c:pt idx="81">
                <c:v>1.1646977307380943E-12</c:v>
              </c:pt>
              <c:pt idx="82">
                <c:v>8.3377553048735245E-13</c:v>
              </c:pt>
              <c:pt idx="83">
                <c:v>5.9172376511973762E-13</c:v>
              </c:pt>
              <c:pt idx="84">
                <c:v>4.1631573829951383E-13</c:v>
              </c:pt>
              <c:pt idx="85">
                <c:v>2.9037591872680707E-13</c:v>
              </c:pt>
              <c:pt idx="86">
                <c:v>2.0078548554145549E-13</c:v>
              </c:pt>
              <c:pt idx="87">
                <c:v>1.3763788295149396E-13</c:v>
              </c:pt>
              <c:pt idx="88">
                <c:v>9.3535743638751947E-14</c:v>
              </c:pt>
              <c:pt idx="89">
                <c:v>6.3016049456519691E-14</c:v>
              </c:pt>
            </c:numLit>
          </c:val>
          <c:extLst>
            <c:ext xmlns:c16="http://schemas.microsoft.com/office/drawing/2014/chart" uri="{C3380CC4-5D6E-409C-BE32-E72D297353CC}">
              <c16:uniqueId val="{00000000-A193-4B4D-A145-3442728B092F}"/>
            </c:ext>
          </c:extLst>
        </c:ser>
        <c:dLbls>
          <c:showLegendKey val="0"/>
          <c:showVal val="0"/>
          <c:showCatName val="0"/>
          <c:showSerName val="0"/>
          <c:showPercent val="0"/>
          <c:showBubbleSize val="0"/>
        </c:dLbls>
        <c:axId val="451185584"/>
        <c:axId val="442330840"/>
      </c:areaChart>
      <c:areaChart>
        <c:grouping val="standard"/>
        <c:varyColors val="0"/>
        <c:ser>
          <c:idx val="1"/>
          <c:order val="1"/>
          <c:tx>
            <c:v>FNPV_C &lt;= 0 (pravdepodobnosť 0.2906)</c:v>
          </c:tx>
          <c:spPr>
            <a:solidFill>
              <a:schemeClr val="accent2"/>
            </a:solidFill>
            <a:ln w="25400">
              <a:noFill/>
            </a:ln>
            <a:effectLst/>
          </c:spPr>
          <c:cat>
            <c:numLit>
              <c:formatCode>#\ ##0.0</c:formatCode>
              <c:ptCount val="90"/>
              <c:pt idx="0">
                <c:v>-4</c:v>
              </c:pt>
              <c:pt idx="1">
                <c:v>-3.906878309095942</c:v>
              </c:pt>
              <c:pt idx="2">
                <c:v>-3.8137566181918841</c:v>
              </c:pt>
              <c:pt idx="3">
                <c:v>-3.7206349272878261</c:v>
              </c:pt>
              <c:pt idx="4">
                <c:v>-3.6275132363837681</c:v>
              </c:pt>
              <c:pt idx="5">
                <c:v>-3.5343915454797101</c:v>
              </c:pt>
              <c:pt idx="6">
                <c:v>-3.4412698545756522</c:v>
              </c:pt>
              <c:pt idx="7">
                <c:v>-3.3481481636715937</c:v>
              </c:pt>
              <c:pt idx="8">
                <c:v>-3.2550264727675358</c:v>
              </c:pt>
              <c:pt idx="9">
                <c:v>-3.1619047818634778</c:v>
              </c:pt>
              <c:pt idx="10">
                <c:v>-3.0687830909594198</c:v>
              </c:pt>
              <c:pt idx="11">
                <c:v>-2.9756614000553618</c:v>
              </c:pt>
              <c:pt idx="12">
                <c:v>-2.8825397091513039</c:v>
              </c:pt>
              <c:pt idx="13">
                <c:v>-2.7894180182472459</c:v>
              </c:pt>
              <c:pt idx="14">
                <c:v>-2.6962963273431879</c:v>
              </c:pt>
              <c:pt idx="15">
                <c:v>-2.6031746364391299</c:v>
              </c:pt>
              <c:pt idx="16">
                <c:v>-2.510052945535072</c:v>
              </c:pt>
              <c:pt idx="17">
                <c:v>-2.416931254631014</c:v>
              </c:pt>
              <c:pt idx="18">
                <c:v>-2.323809563726956</c:v>
              </c:pt>
              <c:pt idx="19">
                <c:v>-2.230687872822898</c:v>
              </c:pt>
              <c:pt idx="20">
                <c:v>-2.1375661819188401</c:v>
              </c:pt>
              <c:pt idx="21">
                <c:v>-2.0444444910147817</c:v>
              </c:pt>
              <c:pt idx="22">
                <c:v>-1.9513228001107239</c:v>
              </c:pt>
              <c:pt idx="23">
                <c:v>-1.8582011092066659</c:v>
              </c:pt>
              <c:pt idx="24">
                <c:v>-1.7650794183026079</c:v>
              </c:pt>
              <c:pt idx="25">
                <c:v>-1.6719577273985498</c:v>
              </c:pt>
              <c:pt idx="26">
                <c:v>-1.5788360364944918</c:v>
              </c:pt>
              <c:pt idx="27">
                <c:v>-1.4857143455904338</c:v>
              </c:pt>
              <c:pt idx="28">
                <c:v>-1.3925926546863758</c:v>
              </c:pt>
              <c:pt idx="29">
                <c:v>-1.2994709637823179</c:v>
              </c:pt>
              <c:pt idx="30">
                <c:v>-1.2063492728782599</c:v>
              </c:pt>
              <c:pt idx="31">
                <c:v>-1.1132275819742019</c:v>
              </c:pt>
              <c:pt idx="32">
                <c:v>-1.0201058910701437</c:v>
              </c:pt>
              <c:pt idx="33">
                <c:v>-0.92698420016608574</c:v>
              </c:pt>
              <c:pt idx="34">
                <c:v>-0.83386250926202776</c:v>
              </c:pt>
              <c:pt idx="35">
                <c:v>-0.7407408183579699</c:v>
              </c:pt>
              <c:pt idx="36">
                <c:v>-0.64761912745391181</c:v>
              </c:pt>
              <c:pt idx="37">
                <c:v>-0.55449743654985384</c:v>
              </c:pt>
              <c:pt idx="38">
                <c:v>-0.46137574564579587</c:v>
              </c:pt>
              <c:pt idx="39">
                <c:v>-0.36825405474173784</c:v>
              </c:pt>
              <c:pt idx="40">
                <c:v>-0.27513236383767986</c:v>
              </c:pt>
              <c:pt idx="41">
                <c:v>-0.18201067293362183</c:v>
              </c:pt>
              <c:pt idx="42">
                <c:v>-8.8888982029563829E-2</c:v>
              </c:pt>
              <c:pt idx="43">
                <c:v>4.2327088744941784E-3</c:v>
              </c:pt>
              <c:pt idx="44">
                <c:v>9.7354399778552189E-2</c:v>
              </c:pt>
              <c:pt idx="45">
                <c:v>0.19047609068261018</c:v>
              </c:pt>
              <c:pt idx="46">
                <c:v>0.28359778158666821</c:v>
              </c:pt>
              <c:pt idx="47">
                <c:v>0.37671947249072618</c:v>
              </c:pt>
              <c:pt idx="48">
                <c:v>0.46984116339478421</c:v>
              </c:pt>
              <c:pt idx="49">
                <c:v>0.56296285429884219</c:v>
              </c:pt>
              <c:pt idx="50">
                <c:v>0.65608454520290027</c:v>
              </c:pt>
              <c:pt idx="51">
                <c:v>0.74920623610695825</c:v>
              </c:pt>
              <c:pt idx="52">
                <c:v>0.84232792701101633</c:v>
              </c:pt>
              <c:pt idx="53">
                <c:v>0.93544961791507431</c:v>
              </c:pt>
              <c:pt idx="54">
                <c:v>1.0285713088191324</c:v>
              </c:pt>
              <c:pt idx="55">
                <c:v>1.1216929997231904</c:v>
              </c:pt>
              <c:pt idx="56">
                <c:v>1.2148146906272483</c:v>
              </c:pt>
              <c:pt idx="57">
                <c:v>1.3079363815313063</c:v>
              </c:pt>
              <c:pt idx="58">
                <c:v>1.4010580724353643</c:v>
              </c:pt>
              <c:pt idx="59">
                <c:v>1.4941797633394223</c:v>
              </c:pt>
              <c:pt idx="60">
                <c:v>1.5873014542434805</c:v>
              </c:pt>
              <c:pt idx="61">
                <c:v>1.6804231451475384</c:v>
              </c:pt>
              <c:pt idx="62">
                <c:v>1.7735448360515964</c:v>
              </c:pt>
              <c:pt idx="63">
                <c:v>1.8666665269556544</c:v>
              </c:pt>
              <c:pt idx="64">
                <c:v>1.9597882178597124</c:v>
              </c:pt>
              <c:pt idx="65">
                <c:v>2.0529099087637706</c:v>
              </c:pt>
              <c:pt idx="66">
                <c:v>2.1460315996678285</c:v>
              </c:pt>
              <c:pt idx="67">
                <c:v>2.2391532905718865</c:v>
              </c:pt>
              <c:pt idx="68">
                <c:v>2.3322749814759445</c:v>
              </c:pt>
              <c:pt idx="69">
                <c:v>2.4253966723800024</c:v>
              </c:pt>
              <c:pt idx="70">
                <c:v>2.5185183632840604</c:v>
              </c:pt>
              <c:pt idx="71">
                <c:v>2.6116400541881184</c:v>
              </c:pt>
              <c:pt idx="72">
                <c:v>2.7047617450921764</c:v>
              </c:pt>
              <c:pt idx="73">
                <c:v>2.7978834359962343</c:v>
              </c:pt>
              <c:pt idx="74">
                <c:v>2.8910051269002923</c:v>
              </c:pt>
              <c:pt idx="75">
                <c:v>2.9841268178043503</c:v>
              </c:pt>
              <c:pt idx="76">
                <c:v>3.0772485087084083</c:v>
              </c:pt>
              <c:pt idx="77">
                <c:v>3.1703701996124667</c:v>
              </c:pt>
              <c:pt idx="78">
                <c:v>3.2634918905165247</c:v>
              </c:pt>
              <c:pt idx="79">
                <c:v>3.3566135814205826</c:v>
              </c:pt>
              <c:pt idx="80">
                <c:v>3.4497352723246406</c:v>
              </c:pt>
              <c:pt idx="81">
                <c:v>3.5428569632286986</c:v>
              </c:pt>
              <c:pt idx="82">
                <c:v>3.6359786541327566</c:v>
              </c:pt>
              <c:pt idx="83">
                <c:v>3.7291003450368145</c:v>
              </c:pt>
              <c:pt idx="84">
                <c:v>3.8222220359408725</c:v>
              </c:pt>
              <c:pt idx="85">
                <c:v>3.9153437268449305</c:v>
              </c:pt>
              <c:pt idx="86">
                <c:v>4.0084654177489885</c:v>
              </c:pt>
              <c:pt idx="87">
                <c:v>4.1015871086530469</c:v>
              </c:pt>
              <c:pt idx="88">
                <c:v>4.1947087995571044</c:v>
              </c:pt>
              <c:pt idx="89">
                <c:v>4.2878304904611628</c:v>
              </c:pt>
            </c:numLit>
          </c:cat>
          <c:val>
            <c:numLit>
              <c:formatCode>General</c:formatCode>
              <c:ptCount val="90"/>
              <c:pt idx="0">
                <c:v>2.0770828195496589E-13</c:v>
              </c:pt>
              <c:pt idx="1">
                <c:v>3.0015095866552994E-13</c:v>
              </c:pt>
              <c:pt idx="2">
                <c:v>4.299912386676527E-13</c:v>
              </c:pt>
              <c:pt idx="3">
                <c:v>6.1067962334731138E-13</c:v>
              </c:pt>
              <c:pt idx="4">
                <c:v>8.59807446379861E-13</c:v>
              </c:pt>
              <c:pt idx="5">
                <c:v>1.2001151701676694E-12</c:v>
              </c:pt>
              <c:pt idx="6">
                <c:v>1.6606518727336197E-12</c:v>
              </c:pt>
              <c:pt idx="7">
                <c:v>2.2780760813082075E-12</c:v>
              </c:pt>
              <c:pt idx="8">
                <c:v>3.0980740880198272E-12</c:v>
              </c:pt>
              <c:pt idx="9">
                <c:v>4.1768542895965143E-12</c:v>
              </c:pt>
              <c:pt idx="10">
                <c:v>5.5826551470668171E-12</c:v>
              </c:pt>
              <c:pt idx="11">
                <c:v>7.397180705089422E-12</c:v>
              </c:pt>
              <c:pt idx="12">
                <c:v>9.7168523943839367E-12</c:v>
              </c:pt>
              <c:pt idx="13">
                <c:v>1.265374078194346E-11</c:v>
              </c:pt>
              <c:pt idx="14">
                <c:v>1.6336018326765808E-11</c:v>
              </c:pt>
              <c:pt idx="15">
                <c:v>2.0907756861380885E-11</c:v>
              </c:pt>
              <c:pt idx="16">
                <c:v>2.6527884658099946E-11</c:v>
              </c:pt>
              <c:pt idx="17">
                <c:v>3.3368120926078666E-11</c:v>
              </c:pt>
              <c:pt idx="18">
                <c:v>4.1609723647199941E-11</c:v>
              </c:pt>
              <c:pt idx="19">
                <c:v>5.1438922487248055E-11</c:v>
              </c:pt>
              <c:pt idx="20">
                <c:v>6.304096383326714E-11</c:v>
              </c:pt>
              <c:pt idx="21">
                <c:v>7.6592770108635491E-11</c:v>
              </c:pt>
              <c:pt idx="22">
                <c:v>9.2254308883275372E-11</c:v>
              </c:pt>
              <c:pt idx="23">
                <c:v>1.1015887528962902E-10</c:v>
              </c:pt>
              <c:pt idx="24">
                <c:v>1.304026079944312E-10</c:v>
              </c:pt>
              <c:pt idx="25">
                <c:v>1.5303367643700062E-10</c:v>
              </c:pt>
              <c:pt idx="26">
                <c:v>1.7804168542241174E-10</c:v>
              </c:pt>
              <c:pt idx="27">
                <c:v>2.0534793151132833E-10</c:v>
              </c:pt>
              <c:pt idx="28">
                <c:v>2.3479720279974891E-10</c:v>
              </c:pt>
              <c:pt idx="29">
                <c:v>2.6615182931702276E-10</c:v>
              </c:pt>
              <c:pt idx="30">
                <c:v>2.9908865714211794E-10</c:v>
              </c:pt>
              <c:pt idx="31">
                <c:v>3.3319953044850516E-10</c:v>
              </c:pt>
              <c:pt idx="32">
                <c:v>3.6799572130383344E-10</c:v>
              </c:pt>
              <c:pt idx="33">
                <c:v>4.029165514040762E-10</c:v>
              </c:pt>
              <c:pt idx="34">
                <c:v>4.3734221246887055E-10</c:v>
              </c:pt>
              <c:pt idx="35">
                <c:v>4.7061052716844555E-10</c:v>
              </c:pt>
              <c:pt idx="36">
                <c:v>5.0203711869691575E-10</c:v>
              </c:pt>
              <c:pt idx="37">
                <c:v>5.3093819567254783E-10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numLit>
          </c:val>
          <c:extLst>
            <c:ext xmlns:c16="http://schemas.microsoft.com/office/drawing/2014/chart" uri="{C3380CC4-5D6E-409C-BE32-E72D297353CC}">
              <c16:uniqueId val="{00000001-A193-4B4D-A145-3442728B092F}"/>
            </c:ext>
          </c:extLst>
        </c:ser>
        <c:dLbls>
          <c:showLegendKey val="0"/>
          <c:showVal val="0"/>
          <c:showCatName val="0"/>
          <c:showSerName val="0"/>
          <c:showPercent val="0"/>
          <c:showBubbleSize val="0"/>
        </c:dLbls>
        <c:axId val="606951240"/>
        <c:axId val="682944704"/>
      </c:areaChart>
      <c:catAx>
        <c:axId val="451185584"/>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442330840"/>
        <c:crosses val="autoZero"/>
        <c:auto val="1"/>
        <c:lblAlgn val="ctr"/>
        <c:lblOffset val="100"/>
        <c:noMultiLvlLbl val="0"/>
      </c:catAx>
      <c:valAx>
        <c:axId val="442330840"/>
        <c:scaling>
          <c:orientation val="minMax"/>
        </c:scaling>
        <c:delete val="1"/>
        <c:axPos val="l"/>
        <c:majorGridlines>
          <c:spPr>
            <a:ln w="9525" cap="flat" cmpd="sng" algn="ctr">
              <a:solidFill>
                <a:schemeClr val="tx1">
                  <a:lumMod val="15000"/>
                  <a:lumOff val="85000"/>
                </a:schemeClr>
              </a:solidFill>
              <a:round/>
            </a:ln>
            <a:effectLst/>
          </c:spPr>
        </c:majorGridlines>
        <c:numFmt formatCode="#\ ##0.0000000000000000000000" sourceLinked="1"/>
        <c:majorTickMark val="none"/>
        <c:minorTickMark val="none"/>
        <c:tickLblPos val="nextTo"/>
        <c:crossAx val="451185584"/>
        <c:crosses val="autoZero"/>
        <c:crossBetween val="midCat"/>
      </c:valAx>
      <c:valAx>
        <c:axId val="682944704"/>
        <c:scaling>
          <c:orientation val="minMax"/>
        </c:scaling>
        <c:delete val="1"/>
        <c:axPos val="r"/>
        <c:numFmt formatCode="General" sourceLinked="1"/>
        <c:majorTickMark val="out"/>
        <c:minorTickMark val="none"/>
        <c:tickLblPos val="nextTo"/>
        <c:crossAx val="606951240"/>
        <c:crosses val="max"/>
        <c:crossBetween val="midCat"/>
      </c:valAx>
      <c:catAx>
        <c:axId val="606951240"/>
        <c:scaling>
          <c:orientation val="minMax"/>
        </c:scaling>
        <c:delete val="1"/>
        <c:axPos val="t"/>
        <c:numFmt formatCode="#\ ##0.0" sourceLinked="1"/>
        <c:majorTickMark val="out"/>
        <c:minorTickMark val="none"/>
        <c:tickLblPos val="nextTo"/>
        <c:crossAx val="682944704"/>
        <c:crosses val="max"/>
        <c:auto val="1"/>
        <c:lblAlgn val="ctr"/>
        <c:lblOffset val="100"/>
        <c:tickLblSkip val="255"/>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sk-S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k-S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ENPV</a:t>
            </a:r>
            <a:r>
              <a:rPr lang="cs-CZ" sz="1800" b="1" i="0" baseline="0">
                <a:effectLst/>
              </a:rPr>
              <a:t> </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sk-SK"/>
        </a:p>
      </c:txPr>
    </c:title>
    <c:autoTitleDeleted val="0"/>
    <c:plotArea>
      <c:layout/>
      <c:areaChart>
        <c:grouping val="standard"/>
        <c:varyColors val="0"/>
        <c:ser>
          <c:idx val="0"/>
          <c:order val="0"/>
          <c:tx>
            <c:v>ENPV &gt;= 0 (pravdepodobnosť 0.5406)</c:v>
          </c:tx>
          <c:spPr>
            <a:solidFill>
              <a:schemeClr val="accent1"/>
            </a:solidFill>
            <a:ln>
              <a:noFill/>
            </a:ln>
            <a:effectLst/>
          </c:spPr>
          <c:cat>
            <c:numLit>
              <c:formatCode>#\ ##0.0</c:formatCode>
              <c:ptCount val="69"/>
              <c:pt idx="0">
                <c:v>-2128395166.9177737</c:v>
              </c:pt>
              <c:pt idx="1">
                <c:v>-2053395166.9177737</c:v>
              </c:pt>
              <c:pt idx="2">
                <c:v>-1978395166.9177737</c:v>
              </c:pt>
              <c:pt idx="3">
                <c:v>-1903395166.9177737</c:v>
              </c:pt>
              <c:pt idx="4">
                <c:v>-1828395166.9177737</c:v>
              </c:pt>
              <c:pt idx="5">
                <c:v>-1753395166.9177737</c:v>
              </c:pt>
              <c:pt idx="6">
                <c:v>-1678395166.9177737</c:v>
              </c:pt>
              <c:pt idx="7">
                <c:v>-1603395166.9177737</c:v>
              </c:pt>
              <c:pt idx="8">
                <c:v>-1528395166.9177737</c:v>
              </c:pt>
              <c:pt idx="9">
                <c:v>-1453395166.9177737</c:v>
              </c:pt>
              <c:pt idx="10">
                <c:v>-1378395166.9177737</c:v>
              </c:pt>
              <c:pt idx="11">
                <c:v>-1303395166.9177737</c:v>
              </c:pt>
              <c:pt idx="12">
                <c:v>-1228395166.9177737</c:v>
              </c:pt>
              <c:pt idx="13">
                <c:v>-1153395166.9177737</c:v>
              </c:pt>
              <c:pt idx="14">
                <c:v>-1078395166.9177737</c:v>
              </c:pt>
              <c:pt idx="15">
                <c:v>-1003395166.9177737</c:v>
              </c:pt>
              <c:pt idx="16">
                <c:v>-928395166.91777372</c:v>
              </c:pt>
              <c:pt idx="17">
                <c:v>-853395166.91777372</c:v>
              </c:pt>
              <c:pt idx="18">
                <c:v>-778395166.91777372</c:v>
              </c:pt>
              <c:pt idx="19">
                <c:v>-703395166.91777372</c:v>
              </c:pt>
              <c:pt idx="20">
                <c:v>-628395166.91777372</c:v>
              </c:pt>
              <c:pt idx="21">
                <c:v>-553395166.91777372</c:v>
              </c:pt>
              <c:pt idx="22">
                <c:v>-478395166.91777372</c:v>
              </c:pt>
              <c:pt idx="23">
                <c:v>-403395166.91777372</c:v>
              </c:pt>
              <c:pt idx="24">
                <c:v>-328395166.91777372</c:v>
              </c:pt>
              <c:pt idx="25">
                <c:v>-253395166.91777372</c:v>
              </c:pt>
              <c:pt idx="26">
                <c:v>-178395166.91777372</c:v>
              </c:pt>
              <c:pt idx="27">
                <c:v>-103395166.91777372</c:v>
              </c:pt>
              <c:pt idx="28">
                <c:v>-28395166.917773724</c:v>
              </c:pt>
              <c:pt idx="29">
                <c:v>46604833.082226276</c:v>
              </c:pt>
              <c:pt idx="30">
                <c:v>121604833.08222628</c:v>
              </c:pt>
              <c:pt idx="31">
                <c:v>196604833.08222628</c:v>
              </c:pt>
              <c:pt idx="32">
                <c:v>271604833.08222628</c:v>
              </c:pt>
              <c:pt idx="33">
                <c:v>346604833.08222628</c:v>
              </c:pt>
              <c:pt idx="34">
                <c:v>421604833.08222628</c:v>
              </c:pt>
              <c:pt idx="35">
                <c:v>496604833.08222628</c:v>
              </c:pt>
              <c:pt idx="36">
                <c:v>571604833.08222628</c:v>
              </c:pt>
              <c:pt idx="37">
                <c:v>646604833.08222628</c:v>
              </c:pt>
              <c:pt idx="38">
                <c:v>721604833.08222628</c:v>
              </c:pt>
              <c:pt idx="39">
                <c:v>796604833.08222628</c:v>
              </c:pt>
              <c:pt idx="40">
                <c:v>871604833.08222628</c:v>
              </c:pt>
              <c:pt idx="41">
                <c:v>946604833.08222628</c:v>
              </c:pt>
              <c:pt idx="42">
                <c:v>1021604833.0822263</c:v>
              </c:pt>
              <c:pt idx="43">
                <c:v>1096604833.0822263</c:v>
              </c:pt>
              <c:pt idx="44">
                <c:v>1171604833.0822263</c:v>
              </c:pt>
              <c:pt idx="45">
                <c:v>1246604833.0822263</c:v>
              </c:pt>
              <c:pt idx="46">
                <c:v>1321604833.0822263</c:v>
              </c:pt>
              <c:pt idx="47">
                <c:v>1396604833.0822263</c:v>
              </c:pt>
              <c:pt idx="48">
                <c:v>1471604833.0822263</c:v>
              </c:pt>
              <c:pt idx="49">
                <c:v>1546604833.0822263</c:v>
              </c:pt>
              <c:pt idx="50">
                <c:v>1621604833.0822263</c:v>
              </c:pt>
              <c:pt idx="51">
                <c:v>1696604833.0822263</c:v>
              </c:pt>
              <c:pt idx="52">
                <c:v>1771604833.0822263</c:v>
              </c:pt>
              <c:pt idx="53">
                <c:v>1846604833.0822263</c:v>
              </c:pt>
              <c:pt idx="54">
                <c:v>1921604833.0822263</c:v>
              </c:pt>
              <c:pt idx="55">
                <c:v>1996604833.0822263</c:v>
              </c:pt>
              <c:pt idx="56">
                <c:v>2071604833.0822263</c:v>
              </c:pt>
              <c:pt idx="57">
                <c:v>2146604833.0822263</c:v>
              </c:pt>
              <c:pt idx="58">
                <c:v>2221604833.0822263</c:v>
              </c:pt>
              <c:pt idx="59">
                <c:v>2296604833.0822263</c:v>
              </c:pt>
              <c:pt idx="60">
                <c:v>2371604833.0822263</c:v>
              </c:pt>
              <c:pt idx="61">
                <c:v>2446604833.0822263</c:v>
              </c:pt>
              <c:pt idx="62">
                <c:v>2521604833.0822263</c:v>
              </c:pt>
              <c:pt idx="63">
                <c:v>2596604833.0822263</c:v>
              </c:pt>
              <c:pt idx="64">
                <c:v>2671604833.0822263</c:v>
              </c:pt>
              <c:pt idx="65">
                <c:v>2746604833.0822263</c:v>
              </c:pt>
              <c:pt idx="66">
                <c:v>2821604833.0822263</c:v>
              </c:pt>
              <c:pt idx="67">
                <c:v>2896604833.0822263</c:v>
              </c:pt>
              <c:pt idx="68">
                <c:v>2971604833.0822263</c:v>
              </c:pt>
            </c:numLit>
          </c:cat>
          <c:val>
            <c:numLit>
              <c:formatCode>#\ ##0.0000000000000000000000</c:formatCode>
              <c:ptCount val="56"/>
              <c:pt idx="0">
                <c:v>9.2997638171007188E-14</c:v>
              </c:pt>
              <c:pt idx="1">
                <c:v>1.7124506882849866E-13</c:v>
              </c:pt>
              <c:pt idx="2">
                <c:v>3.0866386997888664E-13</c:v>
              </c:pt>
              <c:pt idx="3">
                <c:v>5.4459680215289809E-13</c:v>
              </c:pt>
              <c:pt idx="4">
                <c:v>9.4055878454896459E-13</c:v>
              </c:pt>
              <c:pt idx="5">
                <c:v>1.590077778589523E-12</c:v>
              </c:pt>
              <c:pt idx="6">
                <c:v>2.6313120826961983E-12</c:v>
              </c:pt>
              <c:pt idx="7">
                <c:v>4.262338322916345E-12</c:v>
              </c:pt>
              <c:pt idx="8">
                <c:v>6.7584179398840139E-12</c:v>
              </c:pt>
              <c:pt idx="9">
                <c:v>1.0489716197919017E-11</c:v>
              </c:pt>
              <c:pt idx="10">
                <c:v>1.59369055594346E-11</c:v>
              </c:pt>
              <c:pt idx="11">
                <c:v>2.3700953977798509E-11</c:v>
              </c:pt>
              <c:pt idx="12">
                <c:v>3.4502393353908872E-11</c:v>
              </c:pt>
              <c:pt idx="13">
                <c:v>4.9164789559880015E-11</c:v>
              </c:pt>
              <c:pt idx="14">
                <c:v>6.8577352432344656E-11</c:v>
              </c:pt>
              <c:pt idx="15">
                <c:v>9.3632972584221447E-11</c:v>
              </c:pt>
              <c:pt idx="16">
                <c:v>1.2514066988340394E-10</c:v>
              </c:pt>
              <c:pt idx="17">
                <c:v>1.6371546535668004E-10</c:v>
              </c:pt>
              <c:pt idx="18">
                <c:v>2.0965368761107266E-10</c:v>
              </c:pt>
              <c:pt idx="19">
                <c:v>2.6280696546034531E-10</c:v>
              </c:pt>
              <c:pt idx="20">
                <c:v>3.2247258935057733E-10</c:v>
              </c:pt>
              <c:pt idx="21">
                <c:v>3.8732034084464046E-10</c:v>
              </c:pt>
              <c:pt idx="22">
                <c:v>4.5537519803953025E-10</c:v>
              </c:pt>
              <c:pt idx="23">
                <c:v>5.2407085506805123E-10</c:v>
              </c:pt>
              <c:pt idx="24">
                <c:v>5.9038077991430972E-10</c:v>
              </c:pt>
              <c:pt idx="25">
                <c:v>6.5102247220460594E-10</c:v>
              </c:pt>
              <c:pt idx="26">
                <c:v>7.0271838619627322E-10</c:v>
              </c:pt>
              <c:pt idx="27">
                <c:v>7.424859172349688E-10</c:v>
              </c:pt>
              <c:pt idx="28">
                <c:v>7.6792126147775517E-10</c:v>
              </c:pt>
              <c:pt idx="29">
                <c:v>7.7743972957758708E-10</c:v>
              </c:pt>
              <c:pt idx="30">
                <c:v>7.704391376723858E-10</c:v>
              </c:pt>
              <c:pt idx="31">
                <c:v>7.4736285597131445E-10</c:v>
              </c:pt>
              <c:pt idx="32">
                <c:v>7.0965333799363911E-10</c:v>
              </c:pt>
              <c:pt idx="33">
                <c:v>6.5960290168042069E-10</c:v>
              </c:pt>
              <c:pt idx="34">
                <c:v>6.0012322209237979E-10</c:v>
              </c:pt>
              <c:pt idx="35">
                <c:v>5.344657435810617E-10</c:v>
              </c:pt>
              <c:pt idx="36">
                <c:v>4.6593022466931556E-10</c:v>
              </c:pt>
              <c:pt idx="37">
                <c:v>3.9759733106590597E-10</c:v>
              </c:pt>
              <c:pt idx="38">
                <c:v>3.3211432197256573E-10</c:v>
              </c:pt>
              <c:pt idx="39">
                <c:v>2.7155219367718183E-10</c:v>
              </c:pt>
              <c:pt idx="40">
                <c:v>2.1734046600315675E-10</c:v>
              </c:pt>
              <c:pt idx="41">
                <c:v>1.7027443173501858E-10</c:v>
              </c:pt>
              <c:pt idx="42">
                <c:v>1.3058095860974456E-10</c:v>
              </c:pt>
              <c:pt idx="43">
                <c:v>9.8023867319632028E-11</c:v>
              </c:pt>
              <c:pt idx="44">
                <c:v>7.2028667419435897E-11</c:v>
              </c:pt>
              <c:pt idx="45">
                <c:v>5.1808437532893114E-11</c:v>
              </c:pt>
              <c:pt idx="46">
                <c:v>3.6476837356605235E-11</c:v>
              </c:pt>
              <c:pt idx="47">
                <c:v>2.5139429970603769E-11</c:v>
              </c:pt>
              <c:pt idx="48">
                <c:v>1.6959585840982611E-11</c:v>
              </c:pt>
              <c:pt idx="49">
                <c:v>1.1199448219841687E-11</c:v>
              </c:pt>
              <c:pt idx="50">
                <c:v>7.2393500536579117E-12</c:v>
              </c:pt>
              <c:pt idx="51">
                <c:v>4.5806182111968881E-12</c:v>
              </c:pt>
              <c:pt idx="52">
                <c:v>2.8370708457028915E-12</c:v>
              </c:pt>
              <c:pt idx="53">
                <c:v>1.7200371760635362E-12</c:v>
              </c:pt>
              <c:pt idx="54">
                <c:v>1.0207680158505552E-12</c:v>
              </c:pt>
              <c:pt idx="55">
                <c:v>5.9297698958538447E-13</c:v>
              </c:pt>
            </c:numLit>
          </c:val>
          <c:extLst>
            <c:ext xmlns:c16="http://schemas.microsoft.com/office/drawing/2014/chart" uri="{C3380CC4-5D6E-409C-BE32-E72D297353CC}">
              <c16:uniqueId val="{00000000-88A7-4E7A-AF26-4964EBFE8350}"/>
            </c:ext>
          </c:extLst>
        </c:ser>
        <c:dLbls>
          <c:showLegendKey val="0"/>
          <c:showVal val="0"/>
          <c:showCatName val="0"/>
          <c:showSerName val="0"/>
          <c:showPercent val="0"/>
          <c:showBubbleSize val="0"/>
        </c:dLbls>
        <c:axId val="673225808"/>
        <c:axId val="673228104"/>
      </c:areaChart>
      <c:areaChart>
        <c:grouping val="standard"/>
        <c:varyColors val="0"/>
        <c:ser>
          <c:idx val="1"/>
          <c:order val="1"/>
          <c:tx>
            <c:v>ENPV &lt;= 0 (pravdepodobnosť 0.4594)</c:v>
          </c:tx>
          <c:spPr>
            <a:solidFill>
              <a:schemeClr val="accent2"/>
            </a:solidFill>
            <a:ln w="25400">
              <a:noFill/>
            </a:ln>
            <a:effectLst/>
          </c:spPr>
          <c:cat>
            <c:numLit>
              <c:formatCode>#\ ##0.0</c:formatCode>
              <c:ptCount val="56"/>
              <c:pt idx="0">
                <c:v>-4.25</c:v>
              </c:pt>
              <c:pt idx="1">
                <c:v>-4.103834405834232</c:v>
              </c:pt>
              <c:pt idx="2">
                <c:v>-3.9576688116684644</c:v>
              </c:pt>
              <c:pt idx="3">
                <c:v>-3.8115032175026964</c:v>
              </c:pt>
              <c:pt idx="4">
                <c:v>-3.6653376233369288</c:v>
              </c:pt>
              <c:pt idx="5">
                <c:v>-3.5191720291711608</c:v>
              </c:pt>
              <c:pt idx="6">
                <c:v>-3.3730064350053932</c:v>
              </c:pt>
              <c:pt idx="7">
                <c:v>-3.2268408408396256</c:v>
              </c:pt>
              <c:pt idx="8">
                <c:v>-3.0806752466738576</c:v>
              </c:pt>
              <c:pt idx="9">
                <c:v>-2.93450965250809</c:v>
              </c:pt>
              <c:pt idx="10">
                <c:v>-2.788344058342322</c:v>
              </c:pt>
              <c:pt idx="11">
                <c:v>-2.6421784641765544</c:v>
              </c:pt>
              <c:pt idx="12">
                <c:v>-2.4960128700107869</c:v>
              </c:pt>
              <c:pt idx="13">
                <c:v>-2.3498472758450188</c:v>
              </c:pt>
              <c:pt idx="14">
                <c:v>-2.2036816816792513</c:v>
              </c:pt>
              <c:pt idx="15">
                <c:v>-2.0575160875134837</c:v>
              </c:pt>
              <c:pt idx="16">
                <c:v>-1.9113504933477159</c:v>
              </c:pt>
              <c:pt idx="17">
                <c:v>-1.7651848991819481</c:v>
              </c:pt>
              <c:pt idx="18">
                <c:v>-1.6190193050161803</c:v>
              </c:pt>
              <c:pt idx="19">
                <c:v>-1.4728537108504125</c:v>
              </c:pt>
              <c:pt idx="20">
                <c:v>-1.3266881166846447</c:v>
              </c:pt>
              <c:pt idx="21">
                <c:v>-1.1805225225188769</c:v>
              </c:pt>
              <c:pt idx="22">
                <c:v>-1.0343569283531093</c:v>
              </c:pt>
              <c:pt idx="23">
                <c:v>-0.88819133418734153</c:v>
              </c:pt>
              <c:pt idx="24">
                <c:v>-0.74202574002157373</c:v>
              </c:pt>
              <c:pt idx="25">
                <c:v>-0.59586014585580593</c:v>
              </c:pt>
              <c:pt idx="26">
                <c:v>-0.44969455169003814</c:v>
              </c:pt>
              <c:pt idx="27">
                <c:v>-0.30352895752427034</c:v>
              </c:pt>
              <c:pt idx="28">
                <c:v>-0.15736336335850259</c:v>
              </c:pt>
              <c:pt idx="29">
                <c:v>-1.1197769192734833E-2</c:v>
              </c:pt>
              <c:pt idx="30">
                <c:v>0.13496782497303292</c:v>
              </c:pt>
              <c:pt idx="31">
                <c:v>0.28113341913880069</c:v>
              </c:pt>
              <c:pt idx="32">
                <c:v>0.42729901330456849</c:v>
              </c:pt>
              <c:pt idx="33">
                <c:v>0.57346460747033612</c:v>
              </c:pt>
              <c:pt idx="34">
                <c:v>0.71963020163610392</c:v>
              </c:pt>
              <c:pt idx="35">
                <c:v>0.86579579580187171</c:v>
              </c:pt>
              <c:pt idx="36">
                <c:v>1.0119613899676394</c:v>
              </c:pt>
              <c:pt idx="37">
                <c:v>1.1581269841334072</c:v>
              </c:pt>
              <c:pt idx="38">
                <c:v>1.304292578299175</c:v>
              </c:pt>
              <c:pt idx="39">
                <c:v>1.4504581724649428</c:v>
              </c:pt>
              <c:pt idx="40">
                <c:v>1.5966237666307106</c:v>
              </c:pt>
              <c:pt idx="41">
                <c:v>1.7427893607964782</c:v>
              </c:pt>
              <c:pt idx="42">
                <c:v>1.888954954962246</c:v>
              </c:pt>
              <c:pt idx="43">
                <c:v>2.0351205491280138</c:v>
              </c:pt>
              <c:pt idx="44">
                <c:v>2.1812861432937818</c:v>
              </c:pt>
              <c:pt idx="45">
                <c:v>2.3274517374595494</c:v>
              </c:pt>
              <c:pt idx="46">
                <c:v>2.4736173316253174</c:v>
              </c:pt>
              <c:pt idx="47">
                <c:v>2.619782925791085</c:v>
              </c:pt>
              <c:pt idx="48">
                <c:v>2.765948519956853</c:v>
              </c:pt>
              <c:pt idx="49">
                <c:v>2.9121141141226206</c:v>
              </c:pt>
              <c:pt idx="50">
                <c:v>3.0582797082883886</c:v>
              </c:pt>
              <c:pt idx="51">
                <c:v>3.2044453024541562</c:v>
              </c:pt>
              <c:pt idx="52">
                <c:v>3.3506108966199237</c:v>
              </c:pt>
              <c:pt idx="53">
                <c:v>3.4967764907856917</c:v>
              </c:pt>
              <c:pt idx="54">
                <c:v>3.6429420849514593</c:v>
              </c:pt>
              <c:pt idx="55">
                <c:v>3.7891076791172273</c:v>
              </c:pt>
            </c:numLit>
          </c:cat>
          <c:val>
            <c:numLit>
              <c:formatCode>General</c:formatCode>
              <c:ptCount val="56"/>
              <c:pt idx="0">
                <c:v>9.2997638171007188E-14</c:v>
              </c:pt>
              <c:pt idx="1">
                <c:v>1.7124506882849866E-13</c:v>
              </c:pt>
              <c:pt idx="2">
                <c:v>3.0866386997888664E-13</c:v>
              </c:pt>
              <c:pt idx="3">
                <c:v>5.4459680215289809E-13</c:v>
              </c:pt>
              <c:pt idx="4">
                <c:v>9.4055878454896459E-13</c:v>
              </c:pt>
              <c:pt idx="5">
                <c:v>1.590077778589523E-12</c:v>
              </c:pt>
              <c:pt idx="6">
                <c:v>2.6313120826961983E-12</c:v>
              </c:pt>
              <c:pt idx="7">
                <c:v>4.262338322916345E-12</c:v>
              </c:pt>
              <c:pt idx="8">
                <c:v>6.7584179398840139E-12</c:v>
              </c:pt>
              <c:pt idx="9">
                <c:v>1.0489716197919017E-11</c:v>
              </c:pt>
              <c:pt idx="10">
                <c:v>1.59369055594346E-11</c:v>
              </c:pt>
              <c:pt idx="11">
                <c:v>2.3700953977798509E-11</c:v>
              </c:pt>
              <c:pt idx="12">
                <c:v>3.4502393353908872E-11</c:v>
              </c:pt>
              <c:pt idx="13">
                <c:v>4.9164789559880015E-11</c:v>
              </c:pt>
              <c:pt idx="14">
                <c:v>6.8577352432344656E-11</c:v>
              </c:pt>
              <c:pt idx="15">
                <c:v>9.3632972584221447E-11</c:v>
              </c:pt>
              <c:pt idx="16">
                <c:v>1.2514066988340394E-10</c:v>
              </c:pt>
              <c:pt idx="17">
                <c:v>1.6371546535668004E-10</c:v>
              </c:pt>
              <c:pt idx="18">
                <c:v>2.0965368761107266E-10</c:v>
              </c:pt>
              <c:pt idx="19">
                <c:v>2.6280696546034531E-10</c:v>
              </c:pt>
              <c:pt idx="20">
                <c:v>3.2247258935057733E-10</c:v>
              </c:pt>
              <c:pt idx="21">
                <c:v>3.8732034084464046E-10</c:v>
              </c:pt>
              <c:pt idx="22">
                <c:v>4.5537519803953025E-10</c:v>
              </c:pt>
              <c:pt idx="23">
                <c:v>5.2407085506805123E-10</c:v>
              </c:pt>
              <c:pt idx="24">
                <c:v>5.9038077991430972E-10</c:v>
              </c:pt>
              <c:pt idx="25">
                <c:v>6.5102247220460594E-10</c:v>
              </c:pt>
              <c:pt idx="26">
                <c:v>7.0271838619627322E-10</c:v>
              </c:pt>
              <c:pt idx="27">
                <c:v>7.424859172349688E-10</c:v>
              </c:pt>
              <c:pt idx="28">
                <c:v>7.6792126147775517E-10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Lit>
          </c:val>
          <c:extLst>
            <c:ext xmlns:c16="http://schemas.microsoft.com/office/drawing/2014/chart" uri="{C3380CC4-5D6E-409C-BE32-E72D297353CC}">
              <c16:uniqueId val="{00000001-88A7-4E7A-AF26-4964EBFE8350}"/>
            </c:ext>
          </c:extLst>
        </c:ser>
        <c:dLbls>
          <c:showLegendKey val="0"/>
          <c:showVal val="0"/>
          <c:showCatName val="0"/>
          <c:showSerName val="0"/>
          <c:showPercent val="0"/>
          <c:showBubbleSize val="0"/>
        </c:dLbls>
        <c:axId val="443362528"/>
        <c:axId val="443360888"/>
      </c:areaChart>
      <c:catAx>
        <c:axId val="673225808"/>
        <c:scaling>
          <c:orientation val="minMax"/>
        </c:scaling>
        <c:delete val="0"/>
        <c:axPos val="b"/>
        <c:numFmt formatCode="#\ ##0.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673228104"/>
        <c:crosses val="autoZero"/>
        <c:auto val="1"/>
        <c:lblAlgn val="ctr"/>
        <c:lblOffset val="100"/>
        <c:noMultiLvlLbl val="0"/>
      </c:catAx>
      <c:valAx>
        <c:axId val="673228104"/>
        <c:scaling>
          <c:orientation val="minMax"/>
        </c:scaling>
        <c:delete val="1"/>
        <c:axPos val="l"/>
        <c:majorGridlines>
          <c:spPr>
            <a:ln w="9525" cap="flat" cmpd="sng" algn="ctr">
              <a:solidFill>
                <a:schemeClr val="tx1">
                  <a:lumMod val="15000"/>
                  <a:lumOff val="85000"/>
                </a:schemeClr>
              </a:solidFill>
              <a:round/>
            </a:ln>
            <a:effectLst/>
          </c:spPr>
        </c:majorGridlines>
        <c:numFmt formatCode="#\ ##0.0000000000000000000000" sourceLinked="1"/>
        <c:majorTickMark val="none"/>
        <c:minorTickMark val="none"/>
        <c:tickLblPos val="nextTo"/>
        <c:crossAx val="673225808"/>
        <c:crosses val="autoZero"/>
        <c:crossBetween val="midCat"/>
      </c:valAx>
      <c:valAx>
        <c:axId val="443360888"/>
        <c:scaling>
          <c:orientation val="minMax"/>
        </c:scaling>
        <c:delete val="1"/>
        <c:axPos val="r"/>
        <c:numFmt formatCode="General" sourceLinked="1"/>
        <c:majorTickMark val="out"/>
        <c:minorTickMark val="none"/>
        <c:tickLblPos val="nextTo"/>
        <c:crossAx val="443362528"/>
        <c:crosses val="max"/>
        <c:crossBetween val="midCat"/>
      </c:valAx>
      <c:catAx>
        <c:axId val="443362528"/>
        <c:scaling>
          <c:orientation val="minMax"/>
        </c:scaling>
        <c:delete val="0"/>
        <c:axPos val="t"/>
        <c:numFmt formatCode="#\ ##0.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crossAx val="443360888"/>
        <c:crosses val="max"/>
        <c:auto val="1"/>
        <c:lblAlgn val="ctr"/>
        <c:lblOffset val="100"/>
        <c:tickLblSkip val="255"/>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k-SK"/>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sk-SK"/>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66675</xdr:colOff>
      <xdr:row>25</xdr:row>
      <xdr:rowOff>142875</xdr:rowOff>
    </xdr:from>
    <xdr:to>
      <xdr:col>7</xdr:col>
      <xdr:colOff>11906</xdr:colOff>
      <xdr:row>56</xdr:row>
      <xdr:rowOff>57150</xdr:rowOff>
    </xdr:to>
    <xdr:graphicFrame macro="">
      <xdr:nvGraphicFramePr>
        <xdr:cNvPr id="2" name="Chart 1">
          <a:extLst>
            <a:ext uri="{FF2B5EF4-FFF2-40B4-BE49-F238E27FC236}">
              <a16:creationId xmlns:a16="http://schemas.microsoft.com/office/drawing/2014/main" id="{3CC6F850-10CD-1B48-8E73-96A138F8CAEF}"/>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76</xdr:row>
      <xdr:rowOff>9525</xdr:rowOff>
    </xdr:from>
    <xdr:to>
      <xdr:col>7</xdr:col>
      <xdr:colOff>11906</xdr:colOff>
      <xdr:row>106</xdr:row>
      <xdr:rowOff>104775</xdr:rowOff>
    </xdr:to>
    <xdr:graphicFrame macro="">
      <xdr:nvGraphicFramePr>
        <xdr:cNvPr id="3" name="Chart 4">
          <a:extLst>
            <a:ext uri="{FF2B5EF4-FFF2-40B4-BE49-F238E27FC236}">
              <a16:creationId xmlns:a16="http://schemas.microsoft.com/office/drawing/2014/main" id="{036378C3-CFD1-6F47-A10B-EFF472FD2F16}"/>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19050</xdr:colOff>
      <xdr:row>125</xdr:row>
      <xdr:rowOff>152400</xdr:rowOff>
    </xdr:from>
    <xdr:to>
      <xdr:col>7</xdr:col>
      <xdr:colOff>23812</xdr:colOff>
      <xdr:row>157</xdr:row>
      <xdr:rowOff>104775</xdr:rowOff>
    </xdr:to>
    <xdr:graphicFrame macro="">
      <xdr:nvGraphicFramePr>
        <xdr:cNvPr id="4" name="Chart 6">
          <a:extLst>
            <a:ext uri="{FF2B5EF4-FFF2-40B4-BE49-F238E27FC236}">
              <a16:creationId xmlns:a16="http://schemas.microsoft.com/office/drawing/2014/main" id="{A0410D7F-E427-4D46-9E7B-C4AAB1635193}"/>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29</xdr:row>
      <xdr:rowOff>66675</xdr:rowOff>
    </xdr:from>
    <xdr:to>
      <xdr:col>6</xdr:col>
      <xdr:colOff>1535906</xdr:colOff>
      <xdr:row>68</xdr:row>
      <xdr:rowOff>57150</xdr:rowOff>
    </xdr:to>
    <xdr:graphicFrame macro="">
      <xdr:nvGraphicFramePr>
        <xdr:cNvPr id="2" name="Chart 1">
          <a:extLst>
            <a:ext uri="{FF2B5EF4-FFF2-40B4-BE49-F238E27FC236}">
              <a16:creationId xmlns:a16="http://schemas.microsoft.com/office/drawing/2014/main" id="{6FB0E448-9006-1648-A7BF-B912FF69605B}"/>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92</xdr:row>
      <xdr:rowOff>19050</xdr:rowOff>
    </xdr:from>
    <xdr:to>
      <xdr:col>7</xdr:col>
      <xdr:colOff>-1</xdr:colOff>
      <xdr:row>126</xdr:row>
      <xdr:rowOff>85725</xdr:rowOff>
    </xdr:to>
    <xdr:graphicFrame macro="">
      <xdr:nvGraphicFramePr>
        <xdr:cNvPr id="3" name="Chart 2">
          <a:extLst>
            <a:ext uri="{FF2B5EF4-FFF2-40B4-BE49-F238E27FC236}">
              <a16:creationId xmlns:a16="http://schemas.microsoft.com/office/drawing/2014/main" id="{E88616BD-FBBC-1441-AC88-D268CDA0B6D4}"/>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9524</xdr:colOff>
      <xdr:row>150</xdr:row>
      <xdr:rowOff>19050</xdr:rowOff>
    </xdr:from>
    <xdr:to>
      <xdr:col>6</xdr:col>
      <xdr:colOff>1535905</xdr:colOff>
      <xdr:row>186</xdr:row>
      <xdr:rowOff>57150</xdr:rowOff>
    </xdr:to>
    <xdr:graphicFrame macro="">
      <xdr:nvGraphicFramePr>
        <xdr:cNvPr id="4" name="Chart 3">
          <a:extLst>
            <a:ext uri="{FF2B5EF4-FFF2-40B4-BE49-F238E27FC236}">
              <a16:creationId xmlns:a16="http://schemas.microsoft.com/office/drawing/2014/main" id="{BAACCD1F-40C5-1E42-9582-7DC8CCFC5A53}"/>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208360</xdr:colOff>
      <xdr:row>29</xdr:row>
      <xdr:rowOff>23414</xdr:rowOff>
    </xdr:from>
    <xdr:to>
      <xdr:col>8</xdr:col>
      <xdr:colOff>1202532</xdr:colOff>
      <xdr:row>54</xdr:row>
      <xdr:rowOff>115092</xdr:rowOff>
    </xdr:to>
    <xdr:graphicFrame macro="">
      <xdr:nvGraphicFramePr>
        <xdr:cNvPr id="2" name="Chart 1">
          <a:extLst>
            <a:ext uri="{FF2B5EF4-FFF2-40B4-BE49-F238E27FC236}">
              <a16:creationId xmlns:a16="http://schemas.microsoft.com/office/drawing/2014/main" id="{611016C1-B418-E942-B09A-EBA9152520EC}"/>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182564</xdr:colOff>
      <xdr:row>56</xdr:row>
      <xdr:rowOff>58736</xdr:rowOff>
    </xdr:from>
    <xdr:to>
      <xdr:col>8</xdr:col>
      <xdr:colOff>1158876</xdr:colOff>
      <xdr:row>83</xdr:row>
      <xdr:rowOff>71437</xdr:rowOff>
    </xdr:to>
    <xdr:graphicFrame macro="">
      <xdr:nvGraphicFramePr>
        <xdr:cNvPr id="3" name="Chart 2">
          <a:extLst>
            <a:ext uri="{FF2B5EF4-FFF2-40B4-BE49-F238E27FC236}">
              <a16:creationId xmlns:a16="http://schemas.microsoft.com/office/drawing/2014/main" id="{6C6A4E19-7F1E-F141-B28D-25A22C909C73}"/>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17858</xdr:colOff>
      <xdr:row>40</xdr:row>
      <xdr:rowOff>158353</xdr:rowOff>
    </xdr:from>
    <xdr:to>
      <xdr:col>18</xdr:col>
      <xdr:colOff>511968</xdr:colOff>
      <xdr:row>66</xdr:row>
      <xdr:rowOff>71438</xdr:rowOff>
    </xdr:to>
    <xdr:graphicFrame macro="">
      <xdr:nvGraphicFramePr>
        <xdr:cNvPr id="4" name="Chart 3">
          <a:extLst>
            <a:ext uri="{FF2B5EF4-FFF2-40B4-BE49-F238E27FC236}">
              <a16:creationId xmlns:a16="http://schemas.microsoft.com/office/drawing/2014/main" id="{74107E42-45E2-FF4F-8C0F-3FC2EF8AF859}"/>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11907</xdr:colOff>
      <xdr:row>68</xdr:row>
      <xdr:rowOff>23812</xdr:rowOff>
    </xdr:from>
    <xdr:to>
      <xdr:col>18</xdr:col>
      <xdr:colOff>583406</xdr:colOff>
      <xdr:row>95</xdr:row>
      <xdr:rowOff>23811</xdr:rowOff>
    </xdr:to>
    <xdr:graphicFrame macro="">
      <xdr:nvGraphicFramePr>
        <xdr:cNvPr id="5" name="Chart 4">
          <a:extLst>
            <a:ext uri="{FF2B5EF4-FFF2-40B4-BE49-F238E27FC236}">
              <a16:creationId xmlns:a16="http://schemas.microsoft.com/office/drawing/2014/main" id="{51D6FE1C-EFC7-6047-B6DA-BF23BC0F4C7F}"/>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15875</xdr:colOff>
      <xdr:row>26</xdr:row>
      <xdr:rowOff>79376</xdr:rowOff>
    </xdr:from>
    <xdr:to>
      <xdr:col>13</xdr:col>
      <xdr:colOff>650875</xdr:colOff>
      <xdr:row>51</xdr:row>
      <xdr:rowOff>47625</xdr:rowOff>
    </xdr:to>
    <xdr:graphicFrame macro="">
      <xdr:nvGraphicFramePr>
        <xdr:cNvPr id="2" name="Chart 1">
          <a:extLst>
            <a:ext uri="{FF2B5EF4-FFF2-40B4-BE49-F238E27FC236}">
              <a16:creationId xmlns:a16="http://schemas.microsoft.com/office/drawing/2014/main" id="{DA84F6C5-4644-094B-8E7F-E582B9B3EC20}"/>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15875</xdr:colOff>
      <xdr:row>55</xdr:row>
      <xdr:rowOff>31750</xdr:rowOff>
    </xdr:from>
    <xdr:to>
      <xdr:col>5</xdr:col>
      <xdr:colOff>168275</xdr:colOff>
      <xdr:row>85</xdr:row>
      <xdr:rowOff>31749</xdr:rowOff>
    </xdr:to>
    <xdr:pic>
      <xdr:nvPicPr>
        <xdr:cNvPr id="3" name="Picture 2">
          <a:extLst>
            <a:ext uri="{FF2B5EF4-FFF2-40B4-BE49-F238E27FC236}">
              <a16:creationId xmlns:a16="http://schemas.microsoft.com/office/drawing/2014/main" id="{4F49CAE0-59D0-D341-A87E-245C035EDB5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tretch>
          <a:fillRect/>
        </a:stretch>
      </xdr:blipFill>
      <xdr:spPr>
        <a:xfrm>
          <a:off x="206375" y="9271000"/>
          <a:ext cx="6835775" cy="4762499"/>
        </a:xfrm>
        <a:prstGeom prst="rect">
          <a:avLst/>
        </a:prstGeom>
      </xdr:spPr>
    </xdr:pic>
    <xdr:clientData/>
  </xdr:twoCellAnchor>
  <xdr:twoCellAnchor editAs="oneCell">
    <xdr:from>
      <xdr:col>5</xdr:col>
      <xdr:colOff>254000</xdr:colOff>
      <xdr:row>55</xdr:row>
      <xdr:rowOff>79375</xdr:rowOff>
    </xdr:from>
    <xdr:to>
      <xdr:col>13</xdr:col>
      <xdr:colOff>635000</xdr:colOff>
      <xdr:row>85</xdr:row>
      <xdr:rowOff>47625</xdr:rowOff>
    </xdr:to>
    <xdr:pic>
      <xdr:nvPicPr>
        <xdr:cNvPr id="4" name="Picture 3">
          <a:extLst>
            <a:ext uri="{FF2B5EF4-FFF2-40B4-BE49-F238E27FC236}">
              <a16:creationId xmlns:a16="http://schemas.microsoft.com/office/drawing/2014/main" id="{9A058D54-B6A2-8247-8533-DF1081D28116}"/>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3"/>
        <a:stretch>
          <a:fillRect/>
        </a:stretch>
      </xdr:blipFill>
      <xdr:spPr>
        <a:xfrm>
          <a:off x="7127875" y="9318625"/>
          <a:ext cx="6921500" cy="47307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26</xdr:row>
      <xdr:rowOff>47625</xdr:rowOff>
    </xdr:from>
    <xdr:to>
      <xdr:col>13</xdr:col>
      <xdr:colOff>540544</xdr:colOff>
      <xdr:row>51</xdr:row>
      <xdr:rowOff>107155</xdr:rowOff>
    </xdr:to>
    <xdr:graphicFrame macro="">
      <xdr:nvGraphicFramePr>
        <xdr:cNvPr id="2" name="Chart 1">
          <a:extLst>
            <a:ext uri="{FF2B5EF4-FFF2-40B4-BE49-F238E27FC236}">
              <a16:creationId xmlns:a16="http://schemas.microsoft.com/office/drawing/2014/main" id="{199F12E1-0EC4-4ADA-9C9E-29E0051B8A0A}"/>
            </a:ext>
            <a:ext uri="{C183D7F6-B498-43B3-948B-1728B52AA6E4}">
              <adec:decorative xmlns:adec="http://schemas.microsoft.com/office/drawing/2017/decorative" val="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71438</xdr:colOff>
      <xdr:row>55</xdr:row>
      <xdr:rowOff>95250</xdr:rowOff>
    </xdr:from>
    <xdr:to>
      <xdr:col>5</xdr:col>
      <xdr:colOff>200026</xdr:colOff>
      <xdr:row>85</xdr:row>
      <xdr:rowOff>71437</xdr:rowOff>
    </xdr:to>
    <xdr:pic>
      <xdr:nvPicPr>
        <xdr:cNvPr id="3" name="Picture 2">
          <a:extLst>
            <a:ext uri="{FF2B5EF4-FFF2-40B4-BE49-F238E27FC236}">
              <a16:creationId xmlns:a16="http://schemas.microsoft.com/office/drawing/2014/main" id="{6BD53BCF-FDF9-4314-9E1E-F1EC1CDC963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tretch>
          <a:fillRect/>
        </a:stretch>
      </xdr:blipFill>
      <xdr:spPr>
        <a:xfrm>
          <a:off x="190501" y="9239250"/>
          <a:ext cx="6010275" cy="4976812"/>
        </a:xfrm>
        <a:prstGeom prst="rect">
          <a:avLst/>
        </a:prstGeom>
      </xdr:spPr>
    </xdr:pic>
    <xdr:clientData/>
  </xdr:twoCellAnchor>
  <xdr:twoCellAnchor editAs="oneCell">
    <xdr:from>
      <xdr:col>5</xdr:col>
      <xdr:colOff>261937</xdr:colOff>
      <xdr:row>55</xdr:row>
      <xdr:rowOff>95249</xdr:rowOff>
    </xdr:from>
    <xdr:to>
      <xdr:col>13</xdr:col>
      <xdr:colOff>559593</xdr:colOff>
      <xdr:row>85</xdr:row>
      <xdr:rowOff>95249</xdr:rowOff>
    </xdr:to>
    <xdr:pic>
      <xdr:nvPicPr>
        <xdr:cNvPr id="4" name="Picture 3">
          <a:extLst>
            <a:ext uri="{FF2B5EF4-FFF2-40B4-BE49-F238E27FC236}">
              <a16:creationId xmlns:a16="http://schemas.microsoft.com/office/drawing/2014/main" id="{60A4AA19-C25F-424D-BDC4-0812C4DF740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3"/>
        <a:stretch>
          <a:fillRect/>
        </a:stretch>
      </xdr:blipFill>
      <xdr:spPr>
        <a:xfrm>
          <a:off x="6262687" y="9239249"/>
          <a:ext cx="6143625" cy="5000625"/>
        </a:xfrm>
        <a:prstGeom prst="rect">
          <a:avLst/>
        </a:prstGeom>
      </xdr:spPr>
    </xdr:pic>
    <xdr:clientData/>
  </xdr:twoCellAnchor>
</xdr:wsDr>
</file>

<file path=xl/drawings/drawing6.xml><?xml version="1.0" encoding="utf-8"?>
<c:userShapes xmlns:c="http://schemas.openxmlformats.org/drawingml/2006/chart">
  <cdr:relSizeAnchor xmlns:cdr="http://schemas.openxmlformats.org/drawingml/2006/chartDrawing">
    <cdr:from>
      <cdr:x>0.00773</cdr:x>
      <cdr:y>0.96033</cdr:y>
    </cdr:from>
    <cdr:to>
      <cdr:x>0.03478</cdr:x>
      <cdr:y>0.98843</cdr:y>
    </cdr:to>
    <cdr:sp macro="" textlink="">
      <cdr:nvSpPr>
        <cdr:cNvPr id="2" name="TextBox 1">
          <a:extLst xmlns:a="http://schemas.openxmlformats.org/drawingml/2006/main">
            <a:ext uri="{FF2B5EF4-FFF2-40B4-BE49-F238E27FC236}">
              <a16:creationId xmlns:a16="http://schemas.microsoft.com/office/drawing/2014/main" id="{BD79011C-64AA-4FBD-8320-67C635B5A91F}"/>
            </a:ext>
          </a:extLst>
        </cdr:cNvPr>
        <cdr:cNvSpPr txBox="1"/>
      </cdr:nvSpPr>
      <cdr:spPr>
        <a:xfrm xmlns:a="http://schemas.openxmlformats.org/drawingml/2006/main">
          <a:off x="95250" y="5534026"/>
          <a:ext cx="333375" cy="161925"/>
        </a:xfrm>
        <a:prstGeom xmlns:a="http://schemas.openxmlformats.org/drawingml/2006/main" prst="rect">
          <a:avLst/>
        </a:prstGeom>
        <a:solidFill xmlns:a="http://schemas.openxmlformats.org/drawingml/2006/main">
          <a:schemeClr val="bg1"/>
        </a:solidFill>
        <a:ln xmlns:a="http://schemas.openxmlformats.org/drawingml/2006/main">
          <a:solidFill>
            <a:schemeClr val="bg1"/>
          </a:solidFill>
        </a:ln>
      </cdr:spPr>
      <cdr:txBody>
        <a:bodyPr xmlns:a="http://schemas.openxmlformats.org/drawingml/2006/main" vertOverflow="clip" wrap="square" rtlCol="0"/>
        <a:lstStyle xmlns:a="http://schemas.openxmlformats.org/drawingml/2006/main"/>
        <a:p xmlns:a="http://schemas.openxmlformats.org/drawingml/2006/main">
          <a:endParaRPr lang="sk-SK" sz="1100"/>
        </a:p>
      </cdr:txBody>
    </cdr:sp>
  </cdr:relSizeAnchor>
</c:userShape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5111-3974-F24D-9C0F-3B08347CC7B1}">
  <sheetPr>
    <pageSetUpPr fitToPage="1"/>
  </sheetPr>
  <dimension ref="A1:V49"/>
  <sheetViews>
    <sheetView showGridLines="0" zoomScale="120" zoomScaleNormal="120" workbookViewId="0">
      <pane xSplit="2" ySplit="6" topLeftCell="C7" activePane="bottomRight" state="frozen"/>
      <selection pane="topRight" activeCell="C1" sqref="C1"/>
      <selection pane="bottomLeft" activeCell="A7" sqref="A7"/>
      <selection pane="bottomRight" activeCell="A2" sqref="A2:R2"/>
    </sheetView>
  </sheetViews>
  <sheetFormatPr defaultColWidth="7.7109375" defaultRowHeight="15.75"/>
  <cols>
    <col min="1" max="1" width="4.85546875" style="227" customWidth="1"/>
    <col min="2" max="2" width="30.140625" style="218" customWidth="1"/>
    <col min="3" max="4" width="9.28515625" style="218" customWidth="1"/>
    <col min="5" max="5" width="9.28515625" style="261" customWidth="1"/>
    <col min="6" max="20" width="9.28515625" style="218" customWidth="1"/>
    <col min="21" max="16384" width="7.7109375" style="218"/>
  </cols>
  <sheetData>
    <row r="1" spans="1:22">
      <c r="A1" s="853" t="s">
        <v>548</v>
      </c>
      <c r="B1" s="854"/>
      <c r="C1" s="854"/>
      <c r="D1" s="854"/>
      <c r="E1" s="854"/>
      <c r="F1" s="854"/>
      <c r="G1" s="854"/>
      <c r="H1" s="854"/>
      <c r="I1" s="854"/>
      <c r="J1" s="854"/>
      <c r="K1" s="854"/>
      <c r="L1" s="854"/>
      <c r="M1" s="854"/>
      <c r="N1" s="854"/>
      <c r="O1" s="854"/>
      <c r="P1" s="854"/>
      <c r="Q1" s="855"/>
      <c r="R1" s="855"/>
      <c r="S1" s="217"/>
    </row>
    <row r="2" spans="1:22" ht="18.75">
      <c r="A2" s="856" t="s">
        <v>368</v>
      </c>
      <c r="B2" s="857"/>
      <c r="C2" s="857"/>
      <c r="D2" s="857"/>
      <c r="E2" s="857"/>
      <c r="F2" s="857"/>
      <c r="G2" s="857"/>
      <c r="H2" s="857"/>
      <c r="I2" s="857"/>
      <c r="J2" s="857"/>
      <c r="K2" s="857"/>
      <c r="L2" s="857"/>
      <c r="M2" s="857"/>
      <c r="N2" s="857"/>
      <c r="O2" s="857"/>
      <c r="P2" s="857"/>
      <c r="Q2" s="857"/>
      <c r="R2" s="857"/>
      <c r="S2" s="219"/>
    </row>
    <row r="3" spans="1:22">
      <c r="A3" s="858" t="s">
        <v>369</v>
      </c>
      <c r="B3" s="859"/>
      <c r="C3" s="859"/>
      <c r="D3" s="859"/>
      <c r="E3" s="859"/>
      <c r="F3" s="859"/>
      <c r="G3" s="859"/>
      <c r="H3" s="859"/>
      <c r="I3" s="859"/>
      <c r="J3" s="859"/>
      <c r="K3" s="859"/>
      <c r="L3" s="859"/>
      <c r="M3" s="859"/>
      <c r="N3" s="859"/>
      <c r="O3" s="859"/>
      <c r="P3" s="859"/>
      <c r="Q3" s="859"/>
      <c r="R3" s="859"/>
      <c r="S3" s="217"/>
    </row>
    <row r="4" spans="1:22">
      <c r="A4" s="220"/>
      <c r="B4" s="221"/>
      <c r="C4" s="222"/>
      <c r="D4" s="223"/>
      <c r="E4" s="224"/>
      <c r="F4" s="224"/>
      <c r="G4" s="224"/>
      <c r="H4" s="224"/>
      <c r="I4" s="223"/>
      <c r="J4" s="223"/>
      <c r="K4" s="223"/>
      <c r="L4" s="223"/>
      <c r="M4" s="223"/>
      <c r="N4" s="223"/>
      <c r="O4" s="223"/>
      <c r="P4" s="223"/>
      <c r="Q4" s="223"/>
      <c r="R4" s="223"/>
      <c r="S4" s="223"/>
      <c r="T4" s="223"/>
      <c r="U4" s="223"/>
      <c r="V4" s="221"/>
    </row>
    <row r="5" spans="1:22">
      <c r="A5" s="225"/>
      <c r="B5" s="226"/>
      <c r="C5" s="225">
        <v>2008</v>
      </c>
      <c r="D5" s="227">
        <v>2009</v>
      </c>
      <c r="E5" s="227">
        <v>2010</v>
      </c>
      <c r="F5" s="227">
        <v>2011</v>
      </c>
      <c r="G5" s="227">
        <v>2012</v>
      </c>
      <c r="H5" s="227">
        <v>2013</v>
      </c>
      <c r="I5" s="227">
        <v>2014</v>
      </c>
      <c r="J5" s="227">
        <v>2015</v>
      </c>
      <c r="K5" s="227">
        <v>2016</v>
      </c>
      <c r="L5" s="227">
        <v>2017</v>
      </c>
      <c r="M5" s="227">
        <v>2018</v>
      </c>
      <c r="N5" s="227">
        <v>2019</v>
      </c>
      <c r="O5" s="227">
        <v>2020</v>
      </c>
      <c r="P5" s="227">
        <v>2021</v>
      </c>
      <c r="Q5" s="227">
        <v>2022</v>
      </c>
      <c r="R5" s="227">
        <v>2023</v>
      </c>
      <c r="S5" s="227">
        <v>2024</v>
      </c>
      <c r="T5" s="227">
        <v>2025</v>
      </c>
      <c r="U5" s="227">
        <v>2026</v>
      </c>
      <c r="V5" s="228">
        <v>2027</v>
      </c>
    </row>
    <row r="6" spans="1:22">
      <c r="A6" s="229"/>
      <c r="B6" s="230"/>
      <c r="C6" s="231" t="s">
        <v>370</v>
      </c>
      <c r="D6" s="232" t="s">
        <v>370</v>
      </c>
      <c r="E6" s="232" t="s">
        <v>370</v>
      </c>
      <c r="F6" s="232" t="s">
        <v>370</v>
      </c>
      <c r="G6" s="232" t="s">
        <v>370</v>
      </c>
      <c r="H6" s="232" t="s">
        <v>370</v>
      </c>
      <c r="I6" s="232" t="s">
        <v>370</v>
      </c>
      <c r="J6" s="232" t="s">
        <v>370</v>
      </c>
      <c r="K6" s="232" t="s">
        <v>370</v>
      </c>
      <c r="L6" s="232" t="s">
        <v>370</v>
      </c>
      <c r="M6" s="232" t="s">
        <v>370</v>
      </c>
      <c r="N6" s="232" t="s">
        <v>370</v>
      </c>
      <c r="O6" s="232" t="s">
        <v>370</v>
      </c>
      <c r="P6" s="232" t="s">
        <v>370</v>
      </c>
      <c r="Q6" s="232" t="s">
        <v>371</v>
      </c>
      <c r="R6" s="232" t="s">
        <v>371</v>
      </c>
      <c r="S6" s="232" t="s">
        <v>371</v>
      </c>
      <c r="T6" s="232" t="s">
        <v>371</v>
      </c>
      <c r="U6" s="232" t="s">
        <v>371</v>
      </c>
      <c r="V6" s="233" t="s">
        <v>371</v>
      </c>
    </row>
    <row r="7" spans="1:22">
      <c r="A7" s="220"/>
      <c r="B7" s="228"/>
      <c r="C7" s="234"/>
      <c r="D7" s="235"/>
      <c r="E7" s="235"/>
      <c r="F7" s="235"/>
      <c r="G7" s="235"/>
      <c r="H7" s="235"/>
      <c r="I7" s="235"/>
      <c r="J7" s="235"/>
      <c r="K7" s="235"/>
      <c r="L7" s="235"/>
      <c r="M7" s="235"/>
      <c r="N7" s="235"/>
      <c r="O7" s="235"/>
      <c r="P7" s="235"/>
      <c r="Q7" s="235"/>
      <c r="R7" s="235"/>
      <c r="S7" s="235"/>
      <c r="T7" s="235"/>
      <c r="U7" s="235"/>
      <c r="V7" s="236"/>
    </row>
    <row r="8" spans="1:22">
      <c r="A8" s="225"/>
      <c r="B8" s="237" t="s">
        <v>372</v>
      </c>
      <c r="C8" s="238"/>
      <c r="D8" s="239"/>
      <c r="E8" s="239"/>
      <c r="F8" s="239"/>
      <c r="G8" s="239"/>
      <c r="H8" s="239"/>
      <c r="I8" s="239"/>
      <c r="J8" s="239"/>
      <c r="K8" s="239"/>
      <c r="L8" s="239"/>
      <c r="M8" s="239"/>
      <c r="N8" s="239"/>
      <c r="O8" s="239"/>
      <c r="P8" s="239"/>
      <c r="Q8" s="239"/>
      <c r="R8" s="239"/>
      <c r="S8" s="239"/>
      <c r="T8" s="239"/>
      <c r="U8" s="239"/>
      <c r="V8" s="240"/>
    </row>
    <row r="9" spans="1:22">
      <c r="A9" s="225"/>
      <c r="B9" s="228"/>
      <c r="C9" s="238"/>
      <c r="D9" s="239"/>
      <c r="E9" s="239"/>
      <c r="F9" s="239"/>
      <c r="G9" s="239"/>
      <c r="H9" s="239"/>
      <c r="I9" s="239"/>
      <c r="J9" s="239"/>
      <c r="K9" s="239"/>
      <c r="L9" s="239"/>
      <c r="M9" s="239"/>
      <c r="N9" s="239"/>
      <c r="O9" s="239"/>
      <c r="P9" s="239"/>
      <c r="Q9" s="239"/>
      <c r="R9" s="239"/>
      <c r="S9" s="239"/>
      <c r="T9" s="239"/>
      <c r="U9" s="239"/>
      <c r="V9" s="240"/>
    </row>
    <row r="10" spans="1:22">
      <c r="A10" s="241"/>
      <c r="B10" s="242" t="s">
        <v>373</v>
      </c>
      <c r="C10" s="243">
        <v>4.5876307055422894</v>
      </c>
      <c r="D10" s="244">
        <v>1.6236443564852099</v>
      </c>
      <c r="E10" s="244">
        <v>0.96309892889521187</v>
      </c>
      <c r="F10" s="244">
        <v>3.908765900839728</v>
      </c>
      <c r="G10" s="244">
        <v>3.6150362463793551</v>
      </c>
      <c r="H10" s="244">
        <v>1.3889746916249779</v>
      </c>
      <c r="I10" s="244">
        <v>-6.9055864163058978E-2</v>
      </c>
      <c r="J10" s="244">
        <v>-0.32875013973152623</v>
      </c>
      <c r="K10" s="244">
        <v>-0.51947654708678348</v>
      </c>
      <c r="L10" s="244">
        <v>1.3083863171367671</v>
      </c>
      <c r="M10" s="244">
        <v>2.4942252144670052</v>
      </c>
      <c r="N10" s="244">
        <v>2.6775097969561568</v>
      </c>
      <c r="O10" s="244">
        <v>1.9325023003922803</v>
      </c>
      <c r="P10" s="244">
        <v>3.1603780536386905</v>
      </c>
      <c r="Q10" s="244">
        <v>12.779234288381435</v>
      </c>
      <c r="R10" s="244">
        <v>10.563085658334327</v>
      </c>
      <c r="S10" s="244">
        <v>4.7787299006598172</v>
      </c>
      <c r="T10" s="244">
        <v>3.024214872819897</v>
      </c>
      <c r="U10" s="244">
        <v>2.5218471909461693</v>
      </c>
      <c r="V10" s="245">
        <v>2.5782067764702488</v>
      </c>
    </row>
    <row r="11" spans="1:22">
      <c r="A11" s="225" t="s">
        <v>338</v>
      </c>
      <c r="B11" s="242" t="s">
        <v>374</v>
      </c>
      <c r="C11" s="243">
        <v>4.4711628780762513</v>
      </c>
      <c r="D11" s="244">
        <v>4.2016215413242852</v>
      </c>
      <c r="E11" s="244">
        <v>-0.49220795786220073</v>
      </c>
      <c r="F11" s="244">
        <v>7.0094479758107786</v>
      </c>
      <c r="G11" s="244">
        <v>6.3089693271419112</v>
      </c>
      <c r="H11" s="244">
        <v>0.80300655197669268</v>
      </c>
      <c r="I11" s="244">
        <v>-0.89491195539248558</v>
      </c>
      <c r="J11" s="244">
        <v>-1.5886969964371223</v>
      </c>
      <c r="K11" s="244">
        <v>-1.1862344220351706</v>
      </c>
      <c r="L11" s="244">
        <v>-1.888214946065625</v>
      </c>
      <c r="M11" s="244">
        <v>1.3025080059388294</v>
      </c>
      <c r="N11" s="244">
        <v>3.9175605559262472</v>
      </c>
      <c r="O11" s="244">
        <v>3.2515616904095213</v>
      </c>
      <c r="P11" s="244">
        <v>-0.70421866286205503</v>
      </c>
      <c r="Q11" s="244">
        <v>13.278165793638852</v>
      </c>
      <c r="R11" s="244">
        <v>8.4720120221412074</v>
      </c>
      <c r="S11" s="244">
        <v>9.730007754869451</v>
      </c>
      <c r="T11" s="244">
        <v>2.6609893382202099</v>
      </c>
      <c r="U11" s="244">
        <v>1.2331118307952416</v>
      </c>
      <c r="V11" s="245">
        <v>1.5197936551776481</v>
      </c>
    </row>
    <row r="12" spans="1:22">
      <c r="A12" s="225"/>
      <c r="B12" s="242" t="s">
        <v>375</v>
      </c>
      <c r="C12" s="243">
        <v>4.6040101483600271</v>
      </c>
      <c r="D12" s="244">
        <v>0.46895995700080295</v>
      </c>
      <c r="E12" s="244">
        <v>1.1836456285359009</v>
      </c>
      <c r="F12" s="244">
        <v>2.315806170195911</v>
      </c>
      <c r="G12" s="244">
        <v>2.7446192801591218</v>
      </c>
      <c r="H12" s="244">
        <v>1.4906230942846044</v>
      </c>
      <c r="I12" s="244">
        <v>0.1579612468407765</v>
      </c>
      <c r="J12" s="244">
        <v>4.3293523907195208E-3</v>
      </c>
      <c r="K12" s="244">
        <v>6.606261000619007E-2</v>
      </c>
      <c r="L12" s="244">
        <v>2.0285315847289764</v>
      </c>
      <c r="M12" s="244">
        <v>2.7462988893904194</v>
      </c>
      <c r="N12" s="244">
        <v>2.3774857529279103</v>
      </c>
      <c r="O12" s="244">
        <v>1.6681411512068367</v>
      </c>
      <c r="P12" s="244">
        <v>3.6095793730812398</v>
      </c>
      <c r="Q12" s="244">
        <v>12.506107872304995</v>
      </c>
      <c r="R12" s="244">
        <v>11.509902307917841</v>
      </c>
      <c r="S12" s="244">
        <v>3.7891979480050741</v>
      </c>
      <c r="T12" s="244">
        <v>3.0954664628523254</v>
      </c>
      <c r="U12" s="244">
        <v>2.7685798935347394</v>
      </c>
      <c r="V12" s="245">
        <v>2.761569096833516</v>
      </c>
    </row>
    <row r="13" spans="1:22">
      <c r="A13" s="225" t="s">
        <v>338</v>
      </c>
      <c r="B13" s="242" t="s">
        <v>376</v>
      </c>
      <c r="C13" s="243">
        <v>8.0206548209614823</v>
      </c>
      <c r="D13" s="244">
        <v>-3.6335803499982444</v>
      </c>
      <c r="E13" s="244">
        <v>1.7127219426252616</v>
      </c>
      <c r="F13" s="244">
        <v>5.3185674227096857</v>
      </c>
      <c r="G13" s="244">
        <v>3.7483907062019428</v>
      </c>
      <c r="H13" s="244">
        <v>3.7364050988188513</v>
      </c>
      <c r="I13" s="244">
        <v>-0.73401850077349229</v>
      </c>
      <c r="J13" s="244">
        <v>-0.39685293727955706</v>
      </c>
      <c r="K13" s="244">
        <v>-0.82690909844265192</v>
      </c>
      <c r="L13" s="244">
        <v>4.231806259839388</v>
      </c>
      <c r="M13" s="244">
        <v>4.2411206706375326</v>
      </c>
      <c r="N13" s="244">
        <v>4.3568221926978401</v>
      </c>
      <c r="O13" s="244">
        <v>2.7820210071904716</v>
      </c>
      <c r="P13" s="244">
        <v>1.8831708310725448</v>
      </c>
      <c r="Q13" s="244">
        <v>19.262742787366793</v>
      </c>
      <c r="R13" s="244">
        <v>19.071902435928266</v>
      </c>
      <c r="S13" s="244">
        <v>4.8223921229063382</v>
      </c>
      <c r="T13" s="244">
        <v>4.3413574169157476</v>
      </c>
      <c r="U13" s="244">
        <v>4.2227172141699132</v>
      </c>
      <c r="V13" s="245">
        <v>4.1396340065751991</v>
      </c>
    </row>
    <row r="14" spans="1:22">
      <c r="A14" s="225"/>
      <c r="B14" s="242" t="s">
        <v>377</v>
      </c>
      <c r="C14" s="243">
        <v>3.8213324545504523</v>
      </c>
      <c r="D14" s="244">
        <v>1.4250572006718532</v>
      </c>
      <c r="E14" s="244">
        <v>0.87692418028779695</v>
      </c>
      <c r="F14" s="244">
        <v>1.5266090148782885</v>
      </c>
      <c r="G14" s="244">
        <v>2.5260370247765618</v>
      </c>
      <c r="H14" s="244">
        <v>0.9661475796636898</v>
      </c>
      <c r="I14" s="244">
        <v>0.36037587326578358</v>
      </c>
      <c r="J14" s="244">
        <v>0.12439182813095417</v>
      </c>
      <c r="K14" s="244">
        <v>0.2692827897696759</v>
      </c>
      <c r="L14" s="244">
        <v>1.3934581321679573</v>
      </c>
      <c r="M14" s="244">
        <v>2.3593189910797729</v>
      </c>
      <c r="N14" s="244">
        <v>1.9025804371182842</v>
      </c>
      <c r="O14" s="244">
        <v>1.3854120019841876</v>
      </c>
      <c r="P14" s="244">
        <v>4.0379699255253199</v>
      </c>
      <c r="Q14" s="244">
        <v>10.536968357018139</v>
      </c>
      <c r="R14" s="244">
        <v>9.2511663134700264</v>
      </c>
      <c r="S14" s="244">
        <v>3.4893655584601557</v>
      </c>
      <c r="T14" s="244">
        <v>2.7367190482518788</v>
      </c>
      <c r="U14" s="244">
        <v>2.3500043650040769</v>
      </c>
      <c r="V14" s="245">
        <v>2.4254468755410263</v>
      </c>
    </row>
    <row r="15" spans="1:22">
      <c r="A15" s="225" t="s">
        <v>338</v>
      </c>
      <c r="B15" s="242" t="s">
        <v>378</v>
      </c>
      <c r="C15" s="243">
        <v>6.6319291550467119</v>
      </c>
      <c r="D15" s="244">
        <v>-16.253336086321479</v>
      </c>
      <c r="E15" s="244">
        <v>11.478089359254163</v>
      </c>
      <c r="F15" s="244">
        <v>15.463250411605213</v>
      </c>
      <c r="G15" s="244">
        <v>5.6732003887600024</v>
      </c>
      <c r="H15" s="244">
        <v>-3.4902455725774995</v>
      </c>
      <c r="I15" s="244">
        <v>-2.7573925806384292</v>
      </c>
      <c r="J15" s="244">
        <v>-12.730784362816994</v>
      </c>
      <c r="K15" s="244">
        <v>-7.1492975294676908</v>
      </c>
      <c r="L15" s="244">
        <v>7.6026695857904558</v>
      </c>
      <c r="M15" s="244">
        <v>7.332140981885038</v>
      </c>
      <c r="N15" s="244">
        <v>-1.6915727116376789</v>
      </c>
      <c r="O15" s="244">
        <v>-11.57668024756634</v>
      </c>
      <c r="P15" s="244">
        <v>17.236431517256868</v>
      </c>
      <c r="Q15" s="244">
        <v>25.94585681042474</v>
      </c>
      <c r="R15" s="244">
        <v>-10.937730430646608</v>
      </c>
      <c r="S15" s="244">
        <v>-3.6462320004891136</v>
      </c>
      <c r="T15" s="244">
        <v>-1.4340407925849119</v>
      </c>
      <c r="U15" s="244">
        <v>-0.773930425282221</v>
      </c>
      <c r="V15" s="245">
        <v>0.62969745229228824</v>
      </c>
    </row>
    <row r="16" spans="1:22">
      <c r="A16" s="225" t="s">
        <v>338</v>
      </c>
      <c r="B16" s="242" t="s">
        <v>379</v>
      </c>
      <c r="C16" s="243">
        <v>0.47292770933651251</v>
      </c>
      <c r="D16" s="244">
        <v>-1.6083417888456908</v>
      </c>
      <c r="E16" s="244">
        <v>-1.4109817179677853</v>
      </c>
      <c r="F16" s="244">
        <v>-0.28975910358571833</v>
      </c>
      <c r="G16" s="244">
        <v>2.060897014808627</v>
      </c>
      <c r="H16" s="244">
        <v>0.95155494553009756</v>
      </c>
      <c r="I16" s="244">
        <v>0.16729815413425442</v>
      </c>
      <c r="J16" s="244">
        <v>0.44213930396062029</v>
      </c>
      <c r="K16" s="244">
        <v>0.11670987385077325</v>
      </c>
      <c r="L16" s="244">
        <v>0.55712079970713368</v>
      </c>
      <c r="M16" s="244">
        <v>1.3391797128520011</v>
      </c>
      <c r="N16" s="244">
        <v>1.4030793105535899</v>
      </c>
      <c r="O16" s="244">
        <v>1.5446785741446867</v>
      </c>
      <c r="P16" s="244">
        <v>2.4020691747572931</v>
      </c>
      <c r="Q16" s="244">
        <v>7.601181337289753</v>
      </c>
      <c r="R16" s="244">
        <v>8.0659446858747827</v>
      </c>
      <c r="S16" s="244">
        <v>2.7016901442316721</v>
      </c>
      <c r="T16" s="244">
        <v>1.7074545451899681</v>
      </c>
      <c r="U16" s="244">
        <v>1.5459728536419748</v>
      </c>
      <c r="V16" s="245">
        <v>1.9371123288584036</v>
      </c>
    </row>
    <row r="17" spans="1:22">
      <c r="A17" s="225" t="s">
        <v>338</v>
      </c>
      <c r="B17" s="242" t="s">
        <v>380</v>
      </c>
      <c r="C17" s="243">
        <v>7.3581704008733206</v>
      </c>
      <c r="D17" s="244">
        <v>6.8770071780209552</v>
      </c>
      <c r="E17" s="244">
        <v>2.3030839660141966</v>
      </c>
      <c r="F17" s="244">
        <v>2.2351229662913141</v>
      </c>
      <c r="G17" s="244">
        <v>2.7311331162836794</v>
      </c>
      <c r="H17" s="244">
        <v>1.4061910982142045</v>
      </c>
      <c r="I17" s="244">
        <v>0.8338304328656454</v>
      </c>
      <c r="J17" s="244">
        <v>0.79049688988346301</v>
      </c>
      <c r="K17" s="244">
        <v>0.95144929077257689</v>
      </c>
      <c r="L17" s="244">
        <v>1.8579999325895713</v>
      </c>
      <c r="M17" s="244">
        <v>3.0004715381242608</v>
      </c>
      <c r="N17" s="244">
        <v>2.8658793732108778</v>
      </c>
      <c r="O17" s="244">
        <v>2.6443239352073711</v>
      </c>
      <c r="P17" s="244">
        <v>0.3628261059982707</v>
      </c>
      <c r="Q17" s="244">
        <v>12.791537144845201</v>
      </c>
      <c r="R17" s="244">
        <v>10.42163430823666</v>
      </c>
      <c r="S17" s="244">
        <v>4.1519950690272367</v>
      </c>
      <c r="T17" s="244">
        <v>4.1148762770543801</v>
      </c>
      <c r="U17" s="244">
        <v>3.0978962358524598</v>
      </c>
      <c r="V17" s="245">
        <v>2.9931871206551719</v>
      </c>
    </row>
    <row r="18" spans="1:22">
      <c r="A18" s="225"/>
      <c r="B18" s="246"/>
      <c r="C18" s="247"/>
      <c r="D18" s="248"/>
      <c r="E18" s="248"/>
      <c r="F18" s="248"/>
      <c r="G18" s="248"/>
      <c r="H18" s="248"/>
      <c r="I18" s="248"/>
      <c r="J18" s="248"/>
      <c r="K18" s="248"/>
      <c r="L18" s="248"/>
      <c r="M18" s="248"/>
      <c r="N18" s="248"/>
      <c r="O18" s="248"/>
      <c r="P18" s="248"/>
      <c r="Q18" s="248"/>
      <c r="R18" s="248"/>
      <c r="S18" s="244"/>
      <c r="T18" s="244"/>
      <c r="U18" s="244"/>
      <c r="V18" s="245"/>
    </row>
    <row r="19" spans="1:22">
      <c r="A19" s="225"/>
      <c r="B19" s="242" t="s">
        <v>381</v>
      </c>
      <c r="C19" s="243">
        <v>3.9361763407000483</v>
      </c>
      <c r="D19" s="244">
        <v>0.92553250447988678</v>
      </c>
      <c r="E19" s="244">
        <v>0.69464782545025638</v>
      </c>
      <c r="F19" s="244">
        <v>4.080964889159544</v>
      </c>
      <c r="G19" s="244">
        <v>3.7419332302882635</v>
      </c>
      <c r="H19" s="244">
        <v>1.4638293573966177</v>
      </c>
      <c r="I19" s="244">
        <v>-0.10204335598197334</v>
      </c>
      <c r="J19" s="244">
        <v>-0.34381384224426714</v>
      </c>
      <c r="K19" s="244">
        <v>-0.48166666666666913</v>
      </c>
      <c r="L19" s="244">
        <v>1.3908660045887755</v>
      </c>
      <c r="M19" s="244">
        <v>2.5329732497543</v>
      </c>
      <c r="N19" s="244">
        <v>2.7716472009665871</v>
      </c>
      <c r="O19" s="244">
        <v>2.0142486539019178</v>
      </c>
      <c r="P19" s="244">
        <v>2.8195849755302982</v>
      </c>
      <c r="Q19" s="244">
        <v>12.141846308652958</v>
      </c>
      <c r="R19" s="244">
        <v>11.189563074527609</v>
      </c>
      <c r="S19" s="244">
        <v>4.813870638754314</v>
      </c>
      <c r="T19" s="244">
        <v>3.0343568039380431</v>
      </c>
      <c r="U19" s="244">
        <v>2.5225577394071053</v>
      </c>
      <c r="V19" s="245">
        <v>2.6348817059203444</v>
      </c>
    </row>
    <row r="20" spans="1:22">
      <c r="A20" s="225"/>
      <c r="B20" s="242"/>
      <c r="C20" s="243"/>
      <c r="D20" s="244"/>
      <c r="E20" s="244"/>
      <c r="F20" s="244"/>
      <c r="G20" s="244"/>
      <c r="H20" s="244"/>
      <c r="I20" s="244"/>
      <c r="J20" s="244"/>
      <c r="K20" s="244"/>
      <c r="L20" s="244"/>
      <c r="M20" s="244"/>
      <c r="N20" s="244"/>
      <c r="O20" s="244"/>
      <c r="P20" s="244"/>
      <c r="Q20" s="244"/>
      <c r="R20" s="244"/>
      <c r="S20" s="244"/>
      <c r="T20" s="244"/>
      <c r="U20" s="244"/>
      <c r="V20" s="245"/>
    </row>
    <row r="21" spans="1:22">
      <c r="A21" s="225"/>
      <c r="B21" s="242" t="s">
        <v>382</v>
      </c>
      <c r="C21" s="243">
        <v>4.4000000000000039</v>
      </c>
      <c r="D21" s="244">
        <v>1.2999999999999901</v>
      </c>
      <c r="E21" s="244">
        <v>0.8999999999999897</v>
      </c>
      <c r="F21" s="244">
        <v>4.2727846769101241</v>
      </c>
      <c r="G21" s="244">
        <v>3.7293096487686528</v>
      </c>
      <c r="H21" s="244">
        <v>1.4254439309170586</v>
      </c>
      <c r="I21" s="244">
        <v>2.8779739063700127E-2</v>
      </c>
      <c r="J21" s="244">
        <v>-0.19180972475305591</v>
      </c>
      <c r="K21" s="244">
        <v>-0.6774286537907237</v>
      </c>
      <c r="L21" s="244">
        <v>1.2093068253277384</v>
      </c>
      <c r="M21" s="244">
        <v>2.5378769774888843</v>
      </c>
      <c r="N21" s="244">
        <v>3.0810105341661176</v>
      </c>
      <c r="O21" s="244">
        <v>2.1656794031200466</v>
      </c>
      <c r="P21" s="244">
        <v>2.9372679490010878</v>
      </c>
      <c r="Q21" s="244">
        <v>13.902376500927783</v>
      </c>
      <c r="R21" s="244">
        <v>11.547165641587508</v>
      </c>
      <c r="S21" s="244">
        <v>4.9869419630762746</v>
      </c>
      <c r="T21" s="244">
        <v>3.1113311859404913</v>
      </c>
      <c r="U21" s="244">
        <v>2.5705119932221798</v>
      </c>
      <c r="V21" s="245">
        <v>2.5851173844352759</v>
      </c>
    </row>
    <row r="22" spans="1:22">
      <c r="A22" s="225"/>
      <c r="B22" s="242"/>
      <c r="C22" s="243"/>
      <c r="D22" s="244"/>
      <c r="E22" s="244"/>
      <c r="F22" s="244"/>
      <c r="G22" s="244"/>
      <c r="H22" s="244"/>
      <c r="I22" s="244"/>
      <c r="J22" s="244"/>
      <c r="K22" s="244"/>
      <c r="L22" s="244"/>
      <c r="M22" s="244"/>
      <c r="N22" s="244"/>
      <c r="O22" s="244"/>
      <c r="P22" s="244"/>
      <c r="Q22" s="244"/>
      <c r="R22" s="244"/>
      <c r="S22" s="244"/>
      <c r="T22" s="244"/>
      <c r="U22" s="244"/>
      <c r="V22" s="245"/>
    </row>
    <row r="23" spans="1:22">
      <c r="A23" s="225"/>
      <c r="B23" s="242" t="s">
        <v>383</v>
      </c>
      <c r="C23" s="243"/>
      <c r="D23" s="244"/>
      <c r="E23" s="244"/>
      <c r="F23" s="244">
        <v>4.1217501585288474</v>
      </c>
      <c r="G23" s="244">
        <v>3.7758830694275325</v>
      </c>
      <c r="H23" s="244">
        <v>1.7605633802816989</v>
      </c>
      <c r="I23" s="244">
        <v>-0.28835063437139263</v>
      </c>
      <c r="J23" s="244">
        <v>-0.1735106998264957</v>
      </c>
      <c r="K23" s="244">
        <v>-0.63731170336036591</v>
      </c>
      <c r="L23" s="244">
        <v>0.69970845481048816</v>
      </c>
      <c r="M23" s="244">
        <v>2.7214823393167498</v>
      </c>
      <c r="N23" s="244">
        <v>2.5366403607666399</v>
      </c>
      <c r="O23" s="244">
        <v>2.1990104452996206</v>
      </c>
      <c r="P23" s="244">
        <v>1.5255513717052027</v>
      </c>
      <c r="Q23" s="244">
        <v>11.7</v>
      </c>
      <c r="R23" s="244">
        <v>14.700000000000003</v>
      </c>
      <c r="S23" s="244">
        <v>4.472659774466381</v>
      </c>
      <c r="T23" s="244">
        <v>3.0337839105066822</v>
      </c>
      <c r="U23" s="244">
        <v>2.5815025536162661</v>
      </c>
      <c r="V23" s="245">
        <v>2.5756662339376568</v>
      </c>
    </row>
    <row r="24" spans="1:22">
      <c r="A24" s="229"/>
      <c r="B24" s="242"/>
      <c r="C24" s="249"/>
      <c r="D24" s="250"/>
      <c r="E24" s="250"/>
      <c r="F24" s="250"/>
      <c r="G24" s="250"/>
      <c r="H24" s="250"/>
      <c r="I24" s="250"/>
      <c r="J24" s="250"/>
      <c r="K24" s="250"/>
      <c r="L24" s="250"/>
      <c r="M24" s="250"/>
      <c r="N24" s="250"/>
      <c r="O24" s="250"/>
      <c r="P24" s="250"/>
      <c r="Q24" s="250"/>
      <c r="R24" s="250"/>
      <c r="S24" s="250"/>
      <c r="T24" s="250"/>
      <c r="U24" s="250"/>
      <c r="V24" s="251"/>
    </row>
    <row r="25" spans="1:22">
      <c r="A25" s="225"/>
      <c r="B25" s="252"/>
      <c r="C25" s="253"/>
      <c r="D25" s="254"/>
      <c r="E25" s="254"/>
      <c r="F25" s="254"/>
      <c r="G25" s="254"/>
      <c r="H25" s="254"/>
      <c r="I25" s="254"/>
      <c r="J25" s="254"/>
      <c r="K25" s="254"/>
      <c r="L25" s="254"/>
      <c r="M25" s="254"/>
      <c r="N25" s="254"/>
      <c r="O25" s="254"/>
      <c r="P25" s="254"/>
      <c r="Q25" s="254"/>
      <c r="R25" s="254"/>
      <c r="S25" s="254"/>
      <c r="T25" s="254"/>
      <c r="U25" s="254"/>
      <c r="V25" s="255"/>
    </row>
    <row r="26" spans="1:22">
      <c r="A26" s="225"/>
      <c r="B26" s="237" t="s">
        <v>384</v>
      </c>
      <c r="C26" s="243"/>
      <c r="D26" s="244"/>
      <c r="E26" s="244"/>
      <c r="F26" s="244"/>
      <c r="G26" s="244"/>
      <c r="H26" s="244"/>
      <c r="I26" s="244"/>
      <c r="J26" s="244"/>
      <c r="K26" s="244"/>
      <c r="L26" s="244"/>
      <c r="M26" s="244"/>
      <c r="N26" s="244"/>
      <c r="O26" s="244"/>
      <c r="P26" s="244"/>
      <c r="Q26" s="244"/>
      <c r="R26" s="244"/>
      <c r="S26" s="244"/>
      <c r="T26" s="244"/>
      <c r="U26" s="244"/>
      <c r="V26" s="245"/>
    </row>
    <row r="27" spans="1:22">
      <c r="A27" s="225"/>
      <c r="B27" s="242"/>
      <c r="C27" s="243"/>
      <c r="D27" s="244"/>
      <c r="E27" s="244"/>
      <c r="F27" s="244"/>
      <c r="G27" s="244"/>
      <c r="H27" s="244"/>
      <c r="I27" s="244"/>
      <c r="J27" s="244"/>
      <c r="K27" s="244"/>
      <c r="L27" s="244"/>
      <c r="M27" s="244"/>
      <c r="N27" s="244"/>
      <c r="O27" s="244"/>
      <c r="P27" s="244"/>
      <c r="Q27" s="244"/>
      <c r="R27" s="244"/>
      <c r="S27" s="244"/>
      <c r="T27" s="244"/>
      <c r="U27" s="244"/>
      <c r="V27" s="245"/>
    </row>
    <row r="28" spans="1:22">
      <c r="A28" s="225"/>
      <c r="B28" s="242" t="s">
        <v>385</v>
      </c>
      <c r="C28" s="243">
        <v>2.8580749592820753</v>
      </c>
      <c r="D28" s="244">
        <v>-1.1612222898941038</v>
      </c>
      <c r="E28" s="244">
        <v>0.53269633341479494</v>
      </c>
      <c r="F28" s="244">
        <v>1.6768312709333877</v>
      </c>
      <c r="G28" s="244">
        <v>1.2603676526169227</v>
      </c>
      <c r="H28" s="244">
        <v>0.50937911951882686</v>
      </c>
      <c r="I28" s="244">
        <v>-0.19278059413019299</v>
      </c>
      <c r="J28" s="244">
        <v>-0.21650452565193934</v>
      </c>
      <c r="K28" s="244">
        <v>-0.51229585589450677</v>
      </c>
      <c r="L28" s="244">
        <v>1.2158019881251869</v>
      </c>
      <c r="M28" s="244">
        <v>2.0347877952904492</v>
      </c>
      <c r="N28" s="244">
        <v>2.4942728448125839</v>
      </c>
      <c r="O28" s="244">
        <v>2.3707030397380757</v>
      </c>
      <c r="P28" s="244">
        <v>2.385315479165806</v>
      </c>
      <c r="Q28" s="244">
        <v>7.5044599942991397</v>
      </c>
      <c r="R28" s="244">
        <v>8.9811552573082931</v>
      </c>
      <c r="S28" s="244">
        <v>6.3988401241557469</v>
      </c>
      <c r="T28" s="244">
        <v>2.7537459375082562</v>
      </c>
      <c r="U28" s="244">
        <v>2.3570436391629812</v>
      </c>
      <c r="V28" s="245">
        <v>3.2262582715015364</v>
      </c>
    </row>
    <row r="29" spans="1:22">
      <c r="A29" s="225"/>
      <c r="B29" s="242"/>
      <c r="C29" s="243"/>
      <c r="D29" s="244"/>
      <c r="E29" s="244"/>
      <c r="F29" s="244"/>
      <c r="G29" s="244"/>
      <c r="H29" s="244"/>
      <c r="I29" s="244"/>
      <c r="J29" s="244"/>
      <c r="K29" s="244"/>
      <c r="L29" s="244"/>
      <c r="M29" s="244"/>
      <c r="N29" s="244"/>
      <c r="O29" s="244"/>
      <c r="P29" s="244"/>
      <c r="Q29" s="244"/>
      <c r="R29" s="244"/>
      <c r="S29" s="244"/>
      <c r="T29" s="244"/>
      <c r="U29" s="244"/>
      <c r="V29" s="245"/>
    </row>
    <row r="30" spans="1:22">
      <c r="A30" s="225"/>
      <c r="B30" s="242" t="s">
        <v>386</v>
      </c>
      <c r="C30" s="243">
        <v>4.481573549235196</v>
      </c>
      <c r="D30" s="244">
        <v>5.5384353614273962E-2</v>
      </c>
      <c r="E30" s="244">
        <v>1.0044610576323887</v>
      </c>
      <c r="F30" s="244">
        <v>3.8730526951081812</v>
      </c>
      <c r="G30" s="244">
        <v>3.4312400963067313</v>
      </c>
      <c r="H30" s="244">
        <v>1.3325416469186946</v>
      </c>
      <c r="I30" s="244">
        <v>-9.1024607148704195E-2</v>
      </c>
      <c r="J30" s="244">
        <v>-0.11487468631581343</v>
      </c>
      <c r="K30" s="244">
        <v>-0.31799017778754157</v>
      </c>
      <c r="L30" s="244">
        <v>1.4049560286474305</v>
      </c>
      <c r="M30" s="244">
        <v>2.3103896551299519</v>
      </c>
      <c r="N30" s="244">
        <v>2.7301097558981802</v>
      </c>
      <c r="O30" s="244">
        <v>2.1665458005430294</v>
      </c>
      <c r="P30" s="244">
        <v>3.2521982459183807</v>
      </c>
      <c r="Q30" s="244">
        <v>12.19636458953639</v>
      </c>
      <c r="R30" s="244">
        <v>10.411808469723272</v>
      </c>
      <c r="S30" s="244">
        <v>4.523983701378298</v>
      </c>
      <c r="T30" s="244">
        <v>2.9269524985071849</v>
      </c>
      <c r="U30" s="244">
        <v>2.4807530795467825</v>
      </c>
      <c r="V30" s="245">
        <v>2.5773723368731183</v>
      </c>
    </row>
    <row r="31" spans="1:22">
      <c r="A31" s="225"/>
      <c r="B31" s="242"/>
      <c r="C31" s="243"/>
      <c r="D31" s="244"/>
      <c r="E31" s="244"/>
      <c r="F31" s="244"/>
      <c r="G31" s="244"/>
      <c r="H31" s="244"/>
      <c r="I31" s="244"/>
      <c r="J31" s="244"/>
      <c r="K31" s="244"/>
      <c r="L31" s="244"/>
      <c r="M31" s="244"/>
      <c r="N31" s="244"/>
      <c r="O31" s="244"/>
      <c r="P31" s="244"/>
      <c r="Q31" s="244"/>
      <c r="R31" s="244"/>
      <c r="S31" s="244"/>
      <c r="T31" s="244"/>
      <c r="U31" s="244"/>
      <c r="V31" s="245"/>
    </row>
    <row r="32" spans="1:22">
      <c r="A32" s="225"/>
      <c r="B32" s="242" t="s">
        <v>387</v>
      </c>
      <c r="C32" s="243">
        <v>4.5099219583472516</v>
      </c>
      <c r="D32" s="244">
        <v>0.53731810888062448</v>
      </c>
      <c r="E32" s="244">
        <v>0.86759632479538329</v>
      </c>
      <c r="F32" s="244">
        <v>2.008509828374061</v>
      </c>
      <c r="G32" s="244">
        <v>1.8750462146829516</v>
      </c>
      <c r="H32" s="244">
        <v>1.0855575546953267</v>
      </c>
      <c r="I32" s="244">
        <v>0.30795139611772271</v>
      </c>
      <c r="J32" s="244">
        <v>0.69315659020976472</v>
      </c>
      <c r="K32" s="244">
        <v>1.2775578699509627</v>
      </c>
      <c r="L32" s="244">
        <v>3.1925424732910379</v>
      </c>
      <c r="M32" s="244">
        <v>4.2394368382836056</v>
      </c>
      <c r="N32" s="244">
        <v>5.5510553556726405</v>
      </c>
      <c r="O32" s="244">
        <v>6.5080378996690502</v>
      </c>
      <c r="P32" s="244">
        <v>3.8851307300616478</v>
      </c>
      <c r="Q32" s="244">
        <v>11.49308885550948</v>
      </c>
      <c r="R32" s="244">
        <v>12.468526474213792</v>
      </c>
      <c r="S32" s="244">
        <v>8.6284027881252445</v>
      </c>
      <c r="T32" s="244">
        <v>4.2011520562389437</v>
      </c>
      <c r="U32" s="244">
        <v>4.3675967798047832</v>
      </c>
      <c r="V32" s="245">
        <v>3.9509099902851341</v>
      </c>
    </row>
    <row r="33" spans="1:22">
      <c r="A33" s="225"/>
      <c r="B33" s="242"/>
      <c r="C33" s="243"/>
      <c r="D33" s="244"/>
      <c r="E33" s="244"/>
      <c r="F33" s="244"/>
      <c r="G33" s="244"/>
      <c r="H33" s="244"/>
      <c r="I33" s="244"/>
      <c r="J33" s="244"/>
      <c r="K33" s="244"/>
      <c r="L33" s="244"/>
      <c r="M33" s="244"/>
      <c r="N33" s="244"/>
      <c r="O33" s="244"/>
      <c r="P33" s="244"/>
      <c r="Q33" s="244"/>
      <c r="R33" s="244"/>
      <c r="S33" s="244"/>
      <c r="T33" s="244"/>
      <c r="U33" s="244"/>
      <c r="V33" s="245"/>
    </row>
    <row r="34" spans="1:22">
      <c r="A34" s="225"/>
      <c r="B34" s="242" t="s">
        <v>388</v>
      </c>
      <c r="C34" s="243">
        <v>1.9401613653068139</v>
      </c>
      <c r="D34" s="244">
        <v>-2.1545346439085233</v>
      </c>
      <c r="E34" s="244">
        <v>-0.14577533025331713</v>
      </c>
      <c r="F34" s="244">
        <v>0.89080600204121119</v>
      </c>
      <c r="G34" s="244">
        <v>0.15510309190609473</v>
      </c>
      <c r="H34" s="244">
        <v>0.40791060772011889</v>
      </c>
      <c r="I34" s="244">
        <v>-0.41058170971403074</v>
      </c>
      <c r="J34" s="244">
        <v>-5.0551681035237994E-2</v>
      </c>
      <c r="K34" s="244">
        <v>-0.76710669350843474</v>
      </c>
      <c r="L34" s="244">
        <v>1.6004304294108485</v>
      </c>
      <c r="M34" s="244">
        <v>2.2843520229080205</v>
      </c>
      <c r="N34" s="244">
        <v>1.2078451964358194</v>
      </c>
      <c r="O34" s="244">
        <v>0.69702815974572729</v>
      </c>
      <c r="P34" s="244">
        <v>2.1884668654067463</v>
      </c>
      <c r="Q34" s="244">
        <v>9.5294550777074818</v>
      </c>
      <c r="R34" s="244">
        <v>7.4664881908579783</v>
      </c>
      <c r="S34" s="244">
        <v>3.973942745803738</v>
      </c>
      <c r="T34" s="244">
        <v>3.5631282392002639</v>
      </c>
      <c r="U34" s="244">
        <v>2.796256711982803</v>
      </c>
      <c r="V34" s="245">
        <v>2.8550054146885717</v>
      </c>
    </row>
    <row r="35" spans="1:22">
      <c r="A35" s="225"/>
      <c r="B35" s="256"/>
      <c r="C35" s="225"/>
      <c r="D35" s="227"/>
      <c r="E35" s="227"/>
      <c r="F35" s="227"/>
      <c r="G35" s="227"/>
      <c r="H35" s="227"/>
      <c r="I35" s="227"/>
      <c r="J35" s="227"/>
      <c r="K35" s="227"/>
      <c r="L35" s="227"/>
      <c r="M35" s="227"/>
      <c r="N35" s="227"/>
      <c r="O35" s="227"/>
      <c r="P35" s="227"/>
      <c r="Q35" s="227"/>
      <c r="R35" s="227"/>
      <c r="S35" s="227"/>
      <c r="T35" s="227"/>
      <c r="U35" s="227"/>
      <c r="V35" s="228"/>
    </row>
    <row r="36" spans="1:22">
      <c r="A36" s="225"/>
      <c r="B36" s="242" t="s">
        <v>389</v>
      </c>
      <c r="C36" s="243">
        <v>1.3315384109522155</v>
      </c>
      <c r="D36" s="244">
        <v>-5.1510926478510966</v>
      </c>
      <c r="E36" s="244">
        <v>2.8916701439634096</v>
      </c>
      <c r="F36" s="244">
        <v>3.9471735455814283</v>
      </c>
      <c r="G36" s="244">
        <v>1.2374442483482406</v>
      </c>
      <c r="H36" s="244">
        <v>-1.8469143204819072</v>
      </c>
      <c r="I36" s="244">
        <v>-3.3136383408854497</v>
      </c>
      <c r="J36" s="244">
        <v>-1.3828189265974511</v>
      </c>
      <c r="K36" s="244">
        <v>-1.4696536881596778</v>
      </c>
      <c r="L36" s="244">
        <v>2.2181960338146345</v>
      </c>
      <c r="M36" s="244">
        <v>1.7843083396688719</v>
      </c>
      <c r="N36" s="244">
        <v>-2.5613811359270766E-2</v>
      </c>
      <c r="O36" s="244">
        <v>-2.2219452984808541</v>
      </c>
      <c r="P36" s="244">
        <v>5.1044952776536423</v>
      </c>
      <c r="Q36" s="244">
        <v>14.632538690517549</v>
      </c>
      <c r="R36" s="244">
        <v>6.1911664760259333</v>
      </c>
      <c r="S36" s="244">
        <v>3.8537603040287305</v>
      </c>
      <c r="T36" s="244">
        <v>3.3009943941761044</v>
      </c>
      <c r="U36" s="244">
        <v>2.8717716917801228</v>
      </c>
      <c r="V36" s="245">
        <v>2.7263721781368266</v>
      </c>
    </row>
    <row r="37" spans="1:22">
      <c r="A37" s="225"/>
      <c r="B37" s="242"/>
      <c r="C37" s="243"/>
      <c r="D37" s="244"/>
      <c r="E37" s="244"/>
      <c r="F37" s="244"/>
      <c r="G37" s="244"/>
      <c r="H37" s="244"/>
      <c r="I37" s="244"/>
      <c r="J37" s="244"/>
      <c r="K37" s="244"/>
      <c r="L37" s="244"/>
      <c r="M37" s="244"/>
      <c r="N37" s="244"/>
      <c r="O37" s="244"/>
      <c r="P37" s="244"/>
      <c r="Q37" s="244"/>
      <c r="R37" s="244"/>
      <c r="S37" s="244"/>
      <c r="T37" s="244"/>
      <c r="U37" s="244"/>
      <c r="V37" s="245"/>
    </row>
    <row r="38" spans="1:22">
      <c r="A38" s="225"/>
      <c r="B38" s="242" t="s">
        <v>390</v>
      </c>
      <c r="C38" s="243">
        <v>3.0173403166024793</v>
      </c>
      <c r="D38" s="244">
        <v>-4.0613116102297457</v>
      </c>
      <c r="E38" s="244">
        <v>3.7454888743739145</v>
      </c>
      <c r="F38" s="244">
        <v>5.3556709670642855</v>
      </c>
      <c r="G38" s="244">
        <v>2.5077044601512277</v>
      </c>
      <c r="H38" s="244">
        <v>-1.400893712772644</v>
      </c>
      <c r="I38" s="244">
        <v>-3.3642069974999189</v>
      </c>
      <c r="J38" s="244">
        <v>-1.1166566611537698</v>
      </c>
      <c r="K38" s="244">
        <v>-1.0861752094133537</v>
      </c>
      <c r="L38" s="244">
        <v>2.7792651720128569</v>
      </c>
      <c r="M38" s="244">
        <v>2.3858000697894344</v>
      </c>
      <c r="N38" s="244">
        <v>0.21780038415362135</v>
      </c>
      <c r="O38" s="244">
        <v>-1.8685891843570279</v>
      </c>
      <c r="P38" s="244">
        <v>6.0328611543832622</v>
      </c>
      <c r="Q38" s="244">
        <v>19.28867087257029</v>
      </c>
      <c r="R38" s="244">
        <v>7.4683251367648751</v>
      </c>
      <c r="S38" s="244">
        <v>2.06266109825195</v>
      </c>
      <c r="T38" s="244">
        <v>3.5203728614310537</v>
      </c>
      <c r="U38" s="244">
        <v>3.2203356952845263</v>
      </c>
      <c r="V38" s="245">
        <v>2.2664877487812873</v>
      </c>
    </row>
    <row r="39" spans="1:22">
      <c r="A39" s="225"/>
      <c r="B39" s="242"/>
      <c r="C39" s="243"/>
      <c r="D39" s="244"/>
      <c r="E39" s="244"/>
      <c r="F39" s="244"/>
      <c r="G39" s="244"/>
      <c r="H39" s="244"/>
      <c r="I39" s="244"/>
      <c r="J39" s="244"/>
      <c r="K39" s="244"/>
      <c r="L39" s="244"/>
      <c r="M39" s="244"/>
      <c r="N39" s="244"/>
      <c r="O39" s="244"/>
      <c r="P39" s="244"/>
      <c r="Q39" s="244"/>
      <c r="R39" s="244"/>
      <c r="S39" s="244"/>
      <c r="T39" s="244"/>
      <c r="U39" s="244"/>
      <c r="V39" s="245"/>
    </row>
    <row r="40" spans="1:22">
      <c r="A40" s="225"/>
      <c r="B40" s="242" t="s">
        <v>391</v>
      </c>
      <c r="C40" s="243">
        <v>-1.6364253828232034</v>
      </c>
      <c r="D40" s="244">
        <v>-1.1359140466814632</v>
      </c>
      <c r="E40" s="244">
        <v>-0.82299359680536588</v>
      </c>
      <c r="F40" s="244">
        <v>-1.3368975856298926</v>
      </c>
      <c r="G40" s="244">
        <v>-1.2391851114925578</v>
      </c>
      <c r="H40" s="244">
        <v>-0.45235765769514602</v>
      </c>
      <c r="I40" s="244">
        <v>5.2329116410487764E-2</v>
      </c>
      <c r="J40" s="244">
        <v>-0.26916794725639903</v>
      </c>
      <c r="K40" s="244">
        <v>-0.38768946561129614</v>
      </c>
      <c r="L40" s="244">
        <v>-0.5458972072423518</v>
      </c>
      <c r="M40" s="244">
        <v>-0.58747573365699468</v>
      </c>
      <c r="N40" s="244">
        <v>-0.24288519063462299</v>
      </c>
      <c r="O40" s="244">
        <v>-0.36008461631890087</v>
      </c>
      <c r="P40" s="244">
        <v>-0.87554543621897185</v>
      </c>
      <c r="Q40" s="244">
        <v>-3.9032475992851312</v>
      </c>
      <c r="R40" s="244">
        <v>-1.1884047314533075</v>
      </c>
      <c r="S40" s="244">
        <v>1.754901534511788</v>
      </c>
      <c r="T40" s="244">
        <v>-0.21191815793458746</v>
      </c>
      <c r="U40" s="244">
        <v>-0.33768927523487591</v>
      </c>
      <c r="V40" s="245">
        <v>0.44969221049742103</v>
      </c>
    </row>
    <row r="41" spans="1:22">
      <c r="A41" s="229"/>
      <c r="B41" s="257"/>
      <c r="C41" s="229"/>
      <c r="D41" s="258"/>
      <c r="E41" s="258"/>
      <c r="F41" s="258"/>
      <c r="G41" s="258"/>
      <c r="H41" s="258"/>
      <c r="I41" s="258"/>
      <c r="J41" s="258"/>
      <c r="K41" s="258"/>
      <c r="L41" s="258"/>
      <c r="M41" s="258"/>
      <c r="N41" s="258"/>
      <c r="O41" s="258"/>
      <c r="P41" s="258"/>
      <c r="Q41" s="258"/>
      <c r="R41" s="258"/>
      <c r="S41" s="258"/>
      <c r="T41" s="258"/>
      <c r="U41" s="258"/>
      <c r="V41" s="230"/>
    </row>
    <row r="43" spans="1:22">
      <c r="A43" s="227" t="s">
        <v>338</v>
      </c>
      <c r="B43" s="860" t="s">
        <v>392</v>
      </c>
      <c r="C43" s="854"/>
      <c r="D43" s="854"/>
      <c r="E43" s="854"/>
      <c r="F43" s="854"/>
      <c r="G43" s="854"/>
      <c r="H43" s="854"/>
      <c r="I43" s="854"/>
      <c r="J43" s="854"/>
      <c r="K43" s="854"/>
      <c r="L43" s="854"/>
      <c r="M43" s="854"/>
      <c r="N43" s="854"/>
      <c r="O43" s="854"/>
      <c r="P43" s="854"/>
    </row>
    <row r="44" spans="1:22">
      <c r="B44" s="217"/>
      <c r="C44" s="217"/>
      <c r="D44" s="217"/>
      <c r="E44" s="217"/>
      <c r="F44" s="217"/>
      <c r="G44" s="217"/>
      <c r="H44" s="217"/>
      <c r="I44" s="217"/>
      <c r="J44" s="217"/>
      <c r="K44" s="217"/>
      <c r="L44" s="217"/>
      <c r="M44" s="217"/>
      <c r="N44" s="217"/>
      <c r="O44" s="217"/>
      <c r="P44" s="217"/>
    </row>
    <row r="45" spans="1:22">
      <c r="B45" s="259" t="s">
        <v>393</v>
      </c>
      <c r="C45" s="638">
        <v>0.17396396442500001</v>
      </c>
      <c r="D45" s="217"/>
      <c r="E45" s="218"/>
    </row>
    <row r="46" spans="1:22">
      <c r="B46" s="259" t="s">
        <v>394</v>
      </c>
      <c r="C46" s="638">
        <v>0.16561514460900001</v>
      </c>
      <c r="D46" s="217"/>
      <c r="E46" s="218"/>
    </row>
    <row r="47" spans="1:22">
      <c r="B47" s="259" t="s">
        <v>395</v>
      </c>
      <c r="C47" s="638">
        <v>3.2555668783000001E-2</v>
      </c>
      <c r="D47" s="217"/>
      <c r="E47" s="218"/>
    </row>
    <row r="48" spans="1:22">
      <c r="B48" s="260" t="s">
        <v>396</v>
      </c>
      <c r="C48" s="638">
        <v>0.33255469000600002</v>
      </c>
      <c r="D48" s="217"/>
      <c r="E48" s="218"/>
    </row>
    <row r="49" spans="2:5">
      <c r="B49" s="260" t="s">
        <v>397</v>
      </c>
      <c r="C49" s="638">
        <v>0.29531053217699998</v>
      </c>
      <c r="D49" s="217"/>
      <c r="E49" s="218"/>
    </row>
  </sheetData>
  <mergeCells count="4">
    <mergeCell ref="A1:R1"/>
    <mergeCell ref="A2:R2"/>
    <mergeCell ref="A3:R3"/>
    <mergeCell ref="B43:P43"/>
  </mergeCells>
  <pageMargins left="0.7" right="0.7" top="0.75" bottom="0.75" header="0.3" footer="0.3"/>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F7CDC-D5B1-1B45-8F2D-9CAC03805A65}">
  <sheetPr>
    <pageSetUpPr fitToPage="1"/>
  </sheetPr>
  <dimension ref="A1:Y69"/>
  <sheetViews>
    <sheetView showGridLines="0" zoomScale="110" zoomScaleNormal="110" workbookViewId="0">
      <pane xSplit="2" ySplit="6" topLeftCell="N7" activePane="bottomRight" state="frozen"/>
      <selection pane="topRight" activeCell="C1" sqref="C1"/>
      <selection pane="bottomLeft" activeCell="A7" sqref="A7"/>
      <selection pane="bottomRight" activeCell="T41" sqref="T41"/>
    </sheetView>
  </sheetViews>
  <sheetFormatPr defaultColWidth="7.7109375" defaultRowHeight="15.75"/>
  <cols>
    <col min="1" max="1" width="4.85546875" style="218" customWidth="1"/>
    <col min="2" max="2" width="63.140625" style="218" customWidth="1"/>
    <col min="3" max="18" width="9.28515625" style="218" customWidth="1"/>
    <col min="19" max="20" width="9.28515625" style="263" customWidth="1"/>
    <col min="21" max="21" width="8.85546875" style="263" bestFit="1" customWidth="1"/>
    <col min="22" max="16384" width="7.7109375" style="218"/>
  </cols>
  <sheetData>
    <row r="1" spans="1:22">
      <c r="A1" s="853" t="s">
        <v>548</v>
      </c>
      <c r="B1" s="854"/>
      <c r="C1" s="854"/>
      <c r="D1" s="854"/>
      <c r="E1" s="854"/>
      <c r="F1" s="854"/>
      <c r="G1" s="854"/>
      <c r="H1" s="854"/>
      <c r="I1" s="854"/>
      <c r="J1" s="854"/>
      <c r="K1" s="854"/>
      <c r="L1" s="854"/>
      <c r="M1" s="854"/>
      <c r="N1" s="854"/>
      <c r="O1" s="854"/>
      <c r="P1" s="854"/>
      <c r="Q1" s="855"/>
      <c r="R1" s="855"/>
      <c r="S1" s="262"/>
    </row>
    <row r="2" spans="1:22" ht="18.75">
      <c r="A2" s="856" t="s">
        <v>398</v>
      </c>
      <c r="B2" s="857"/>
      <c r="C2" s="857"/>
      <c r="D2" s="857"/>
      <c r="E2" s="857"/>
      <c r="F2" s="857"/>
      <c r="G2" s="857"/>
      <c r="H2" s="857"/>
      <c r="I2" s="857"/>
      <c r="J2" s="857"/>
      <c r="K2" s="857"/>
      <c r="L2" s="857"/>
      <c r="M2" s="857"/>
      <c r="N2" s="857"/>
      <c r="O2" s="857"/>
      <c r="P2" s="857"/>
      <c r="Q2" s="857"/>
      <c r="R2" s="857"/>
      <c r="S2" s="264"/>
    </row>
    <row r="3" spans="1:22">
      <c r="A3" s="858" t="s">
        <v>369</v>
      </c>
      <c r="B3" s="859"/>
      <c r="C3" s="859"/>
      <c r="D3" s="859"/>
      <c r="E3" s="859"/>
      <c r="F3" s="859"/>
      <c r="G3" s="859"/>
      <c r="H3" s="859"/>
      <c r="I3" s="859"/>
      <c r="J3" s="859"/>
      <c r="K3" s="859"/>
      <c r="L3" s="859"/>
      <c r="M3" s="859"/>
      <c r="N3" s="859"/>
      <c r="O3" s="859"/>
      <c r="P3" s="859"/>
      <c r="Q3" s="859"/>
      <c r="R3" s="859"/>
      <c r="S3" s="262"/>
    </row>
    <row r="4" spans="1:22">
      <c r="A4" s="265"/>
      <c r="B4" s="223"/>
      <c r="C4" s="265"/>
      <c r="D4" s="266"/>
      <c r="E4" s="223"/>
      <c r="F4" s="223"/>
      <c r="G4" s="223"/>
      <c r="H4" s="223"/>
      <c r="I4" s="223"/>
      <c r="J4" s="223"/>
      <c r="K4" s="223"/>
      <c r="L4" s="223"/>
      <c r="M4" s="223"/>
      <c r="N4" s="223"/>
      <c r="O4" s="223"/>
      <c r="P4" s="223"/>
      <c r="Q4" s="223"/>
      <c r="R4" s="223"/>
      <c r="S4" s="267"/>
      <c r="T4" s="267"/>
      <c r="U4" s="267"/>
      <c r="V4" s="268"/>
    </row>
    <row r="5" spans="1:22">
      <c r="A5" s="269"/>
      <c r="B5" s="261"/>
      <c r="C5" s="225">
        <v>2008</v>
      </c>
      <c r="D5" s="227">
        <v>2009</v>
      </c>
      <c r="E5" s="227">
        <v>2010</v>
      </c>
      <c r="F5" s="227">
        <v>2011</v>
      </c>
      <c r="G5" s="227">
        <v>2012</v>
      </c>
      <c r="H5" s="227">
        <v>2013</v>
      </c>
      <c r="I5" s="227">
        <v>2014</v>
      </c>
      <c r="J5" s="227">
        <v>2015</v>
      </c>
      <c r="K5" s="227">
        <v>2016</v>
      </c>
      <c r="L5" s="227">
        <v>2017</v>
      </c>
      <c r="M5" s="227">
        <v>2018</v>
      </c>
      <c r="N5" s="227">
        <v>2019</v>
      </c>
      <c r="O5" s="227">
        <v>2020</v>
      </c>
      <c r="P5" s="227">
        <v>2021</v>
      </c>
      <c r="Q5" s="227">
        <v>2022</v>
      </c>
      <c r="R5" s="227">
        <v>2023</v>
      </c>
      <c r="S5" s="270">
        <v>2024</v>
      </c>
      <c r="T5" s="270">
        <v>2025</v>
      </c>
      <c r="U5" s="270">
        <v>2026</v>
      </c>
      <c r="V5" s="271">
        <v>2027</v>
      </c>
    </row>
    <row r="6" spans="1:22">
      <c r="A6" s="269"/>
      <c r="B6" s="227"/>
      <c r="C6" s="272" t="s">
        <v>370</v>
      </c>
      <c r="D6" s="273" t="s">
        <v>370</v>
      </c>
      <c r="E6" s="273" t="s">
        <v>370</v>
      </c>
      <c r="F6" s="273" t="s">
        <v>370</v>
      </c>
      <c r="G6" s="273" t="s">
        <v>370</v>
      </c>
      <c r="H6" s="273" t="s">
        <v>370</v>
      </c>
      <c r="I6" s="273" t="s">
        <v>370</v>
      </c>
      <c r="J6" s="273" t="s">
        <v>370</v>
      </c>
      <c r="K6" s="273" t="s">
        <v>370</v>
      </c>
      <c r="L6" s="273" t="s">
        <v>370</v>
      </c>
      <c r="M6" s="273" t="s">
        <v>370</v>
      </c>
      <c r="N6" s="273" t="s">
        <v>370</v>
      </c>
      <c r="O6" s="273" t="s">
        <v>370</v>
      </c>
      <c r="P6" s="232" t="s">
        <v>370</v>
      </c>
      <c r="Q6" s="273" t="s">
        <v>371</v>
      </c>
      <c r="R6" s="273" t="s">
        <v>371</v>
      </c>
      <c r="S6" s="274" t="s">
        <v>371</v>
      </c>
      <c r="T6" s="274" t="s">
        <v>371</v>
      </c>
      <c r="U6" s="274" t="s">
        <v>371</v>
      </c>
      <c r="V6" s="275" t="s">
        <v>371</v>
      </c>
    </row>
    <row r="7" spans="1:22">
      <c r="A7" s="265"/>
      <c r="B7" s="276"/>
      <c r="C7" s="277"/>
      <c r="D7" s="278"/>
      <c r="E7" s="278"/>
      <c r="F7" s="278"/>
      <c r="G7" s="278"/>
      <c r="H7" s="278"/>
      <c r="I7" s="278"/>
      <c r="J7" s="278"/>
      <c r="K7" s="278"/>
      <c r="L7" s="278"/>
      <c r="M7" s="278"/>
      <c r="N7" s="278"/>
      <c r="O7" s="278"/>
      <c r="P7" s="278"/>
      <c r="Q7" s="278"/>
      <c r="R7" s="278"/>
      <c r="S7" s="279"/>
      <c r="T7" s="279"/>
      <c r="U7" s="279"/>
      <c r="V7" s="280"/>
    </row>
    <row r="8" spans="1:22">
      <c r="A8" s="269"/>
      <c r="B8" s="281" t="s">
        <v>399</v>
      </c>
      <c r="C8" s="282"/>
      <c r="D8" s="283"/>
      <c r="J8" s="227"/>
      <c r="K8" s="227"/>
      <c r="L8" s="227"/>
      <c r="M8" s="227"/>
      <c r="N8" s="227"/>
      <c r="O8" s="227"/>
      <c r="P8" s="227"/>
      <c r="Q8" s="227"/>
      <c r="R8" s="227"/>
      <c r="S8" s="270"/>
      <c r="T8" s="270"/>
      <c r="U8" s="270"/>
      <c r="V8" s="271"/>
    </row>
    <row r="9" spans="1:22">
      <c r="A9" s="269"/>
      <c r="B9" s="281"/>
      <c r="C9" s="282"/>
      <c r="D9" s="283"/>
      <c r="J9" s="227"/>
      <c r="K9" s="227"/>
      <c r="L9" s="227"/>
      <c r="M9" s="227"/>
      <c r="N9" s="227"/>
      <c r="O9" s="227"/>
      <c r="P9" s="227"/>
      <c r="Q9" s="227"/>
      <c r="R9" s="227"/>
      <c r="S9" s="270"/>
      <c r="T9" s="270"/>
      <c r="U9" s="270"/>
      <c r="V9" s="271"/>
    </row>
    <row r="10" spans="1:22">
      <c r="A10" s="269"/>
      <c r="B10" s="242" t="s">
        <v>400</v>
      </c>
      <c r="C10" s="247">
        <v>70.240508000000005</v>
      </c>
      <c r="D10" s="248">
        <v>66.408513999999997</v>
      </c>
      <c r="E10" s="248">
        <v>70.868929999999992</v>
      </c>
      <c r="F10" s="248">
        <v>72.762160000000009</v>
      </c>
      <c r="G10" s="248">
        <v>73.721749000000003</v>
      </c>
      <c r="H10" s="248">
        <v>74.188215999999997</v>
      </c>
      <c r="I10" s="248">
        <v>76.189213000000009</v>
      </c>
      <c r="J10" s="248">
        <v>80.126047999999997</v>
      </c>
      <c r="K10" s="248">
        <v>81.683659000000006</v>
      </c>
      <c r="L10" s="248">
        <v>84.083581000000009</v>
      </c>
      <c r="M10" s="248">
        <v>87.472477000000012</v>
      </c>
      <c r="N10" s="248">
        <v>89.667794000000001</v>
      </c>
      <c r="O10" s="248">
        <v>86.676256999999993</v>
      </c>
      <c r="P10" s="248">
        <v>90.89155199999999</v>
      </c>
      <c r="Q10" s="248">
        <v>92.408262000000022</v>
      </c>
      <c r="R10" s="248">
        <v>93.551844254130785</v>
      </c>
      <c r="S10" s="248">
        <v>94.72426695449586</v>
      </c>
      <c r="T10" s="248">
        <v>97.707148267644996</v>
      </c>
      <c r="U10" s="248">
        <v>99.787959469179043</v>
      </c>
      <c r="V10" s="284">
        <v>101.86785304342571</v>
      </c>
    </row>
    <row r="11" spans="1:22">
      <c r="A11" s="269"/>
      <c r="B11" s="285" t="s">
        <v>401</v>
      </c>
      <c r="C11" s="286">
        <v>5.574886345113006</v>
      </c>
      <c r="D11" s="287">
        <v>-5.4555328671597962</v>
      </c>
      <c r="E11" s="287">
        <v>6.7166327498308309</v>
      </c>
      <c r="F11" s="287">
        <v>2.6714527790951736</v>
      </c>
      <c r="G11" s="287">
        <v>1.3188022455628001</v>
      </c>
      <c r="H11" s="287">
        <v>0.63274000729418578</v>
      </c>
      <c r="I11" s="287">
        <v>2.6971898070712541</v>
      </c>
      <c r="J11" s="287">
        <v>5.1671816061415354</v>
      </c>
      <c r="K11" s="287">
        <v>1.9439508610233691</v>
      </c>
      <c r="L11" s="287">
        <v>2.9380686778490261</v>
      </c>
      <c r="M11" s="287">
        <v>4.0303897142534906</v>
      </c>
      <c r="N11" s="287">
        <v>2.50972314411535</v>
      </c>
      <c r="O11" s="287">
        <v>-3.3362446721952321</v>
      </c>
      <c r="P11" s="287">
        <v>4.8632637655315447</v>
      </c>
      <c r="Q11" s="287">
        <v>1.6687029395207498</v>
      </c>
      <c r="R11" s="287">
        <v>1.2375324774864582</v>
      </c>
      <c r="S11" s="287">
        <v>1.2532331240635131</v>
      </c>
      <c r="T11" s="287">
        <v>3.1490149346651286</v>
      </c>
      <c r="U11" s="287">
        <v>2.129640705339364</v>
      </c>
      <c r="V11" s="288">
        <v>2.0843131629413536</v>
      </c>
    </row>
    <row r="12" spans="1:22">
      <c r="A12" s="269"/>
      <c r="B12" s="242" t="s">
        <v>402</v>
      </c>
      <c r="C12" s="247">
        <v>41.387274000000005</v>
      </c>
      <c r="D12" s="248">
        <v>41.292942000000004</v>
      </c>
      <c r="E12" s="248">
        <v>41.630653999999993</v>
      </c>
      <c r="F12" s="248">
        <v>40.816290000000002</v>
      </c>
      <c r="G12" s="248">
        <v>40.997989000000004</v>
      </c>
      <c r="H12" s="248">
        <v>40.504422000000005</v>
      </c>
      <c r="I12" s="248">
        <v>41.283656000000001</v>
      </c>
      <c r="J12" s="248">
        <v>42.425680999999997</v>
      </c>
      <c r="K12" s="248">
        <v>44.071343999999996</v>
      </c>
      <c r="L12" s="248">
        <v>46.14705</v>
      </c>
      <c r="M12" s="248">
        <v>48.08791500000001</v>
      </c>
      <c r="N12" s="248">
        <v>49.338650999999999</v>
      </c>
      <c r="O12" s="248">
        <v>48.792247000000003</v>
      </c>
      <c r="P12" s="248">
        <v>50.091846000000004</v>
      </c>
      <c r="Q12" s="248">
        <v>52.926297999999996</v>
      </c>
      <c r="R12" s="248">
        <v>52.68585783697381</v>
      </c>
      <c r="S12" s="248">
        <v>53.166778797297432</v>
      </c>
      <c r="T12" s="248">
        <v>54.267773614774555</v>
      </c>
      <c r="U12" s="248">
        <v>55.213831581684907</v>
      </c>
      <c r="V12" s="284">
        <v>56.61155070173583</v>
      </c>
    </row>
    <row r="13" spans="1:22">
      <c r="A13" s="269"/>
      <c r="B13" s="285" t="s">
        <v>401</v>
      </c>
      <c r="C13" s="286">
        <v>6.996343968929275</v>
      </c>
      <c r="D13" s="287">
        <v>-0.22792513466821651</v>
      </c>
      <c r="E13" s="287">
        <v>0.81784436672007743</v>
      </c>
      <c r="F13" s="287">
        <v>-1.9561643206469803</v>
      </c>
      <c r="G13" s="287">
        <v>0.44516294842082971</v>
      </c>
      <c r="H13" s="287">
        <v>-1.203881000114404</v>
      </c>
      <c r="I13" s="287">
        <v>1.9238245147653155</v>
      </c>
      <c r="J13" s="287">
        <v>2.7662884314315406</v>
      </c>
      <c r="K13" s="287">
        <v>3.8789312539261322</v>
      </c>
      <c r="L13" s="287">
        <v>4.7098767852416845</v>
      </c>
      <c r="M13" s="287">
        <v>4.2058268079974814</v>
      </c>
      <c r="N13" s="287">
        <v>2.6009362227495059</v>
      </c>
      <c r="O13" s="287">
        <v>-1.1074563023622086</v>
      </c>
      <c r="P13" s="287">
        <v>2.663535868721123</v>
      </c>
      <c r="Q13" s="287">
        <v>5.6585097702328335</v>
      </c>
      <c r="R13" s="287">
        <v>-0.45429242571658479</v>
      </c>
      <c r="S13" s="287">
        <v>0.91280844626604463</v>
      </c>
      <c r="T13" s="287">
        <v>2.0708322798241197</v>
      </c>
      <c r="U13" s="287">
        <v>1.7433145012103246</v>
      </c>
      <c r="V13" s="288">
        <v>2.5314655404472308</v>
      </c>
    </row>
    <row r="14" spans="1:22">
      <c r="A14" s="269"/>
      <c r="B14" s="242" t="s">
        <v>403</v>
      </c>
      <c r="C14" s="247">
        <v>0.65828600000000004</v>
      </c>
      <c r="D14" s="248">
        <v>0.67871599999999987</v>
      </c>
      <c r="E14" s="248">
        <v>0.68976000000000004</v>
      </c>
      <c r="F14" s="248">
        <v>0.69187500000000013</v>
      </c>
      <c r="G14" s="248">
        <v>0.67547999999999997</v>
      </c>
      <c r="H14" s="248">
        <v>0.67717800000000006</v>
      </c>
      <c r="I14" s="248">
        <v>0.67212400000000005</v>
      </c>
      <c r="J14" s="248">
        <v>0.69064800000000004</v>
      </c>
      <c r="K14" s="248">
        <v>0.72752399999999995</v>
      </c>
      <c r="L14" s="248">
        <v>0.72264699999999993</v>
      </c>
      <c r="M14" s="248">
        <v>0.6948430000000001</v>
      </c>
      <c r="N14" s="248">
        <v>0.75983100000000003</v>
      </c>
      <c r="O14" s="248">
        <v>0.74526000000000003</v>
      </c>
      <c r="P14" s="248">
        <v>0.73889499999999997</v>
      </c>
      <c r="Q14" s="248">
        <v>0.71004200000000006</v>
      </c>
      <c r="R14" s="248">
        <v>0.65997838651193508</v>
      </c>
      <c r="S14" s="248">
        <v>0.66600272496754642</v>
      </c>
      <c r="T14" s="248">
        <v>0.67979452438068266</v>
      </c>
      <c r="U14" s="248">
        <v>0.69164548090264477</v>
      </c>
      <c r="V14" s="284">
        <v>0.70915424791375581</v>
      </c>
    </row>
    <row r="15" spans="1:22">
      <c r="A15" s="269"/>
      <c r="B15" s="285" t="s">
        <v>401</v>
      </c>
      <c r="C15" s="286">
        <v>8.2381454266232446</v>
      </c>
      <c r="D15" s="287">
        <v>3.1035142779885616</v>
      </c>
      <c r="E15" s="287">
        <v>1.6271901649585585</v>
      </c>
      <c r="F15" s="287">
        <v>0.30662839248436491</v>
      </c>
      <c r="G15" s="287">
        <v>-2.369647696476973</v>
      </c>
      <c r="H15" s="287">
        <v>0.25137679872091478</v>
      </c>
      <c r="I15" s="287">
        <v>-0.74633257430101185</v>
      </c>
      <c r="J15" s="287">
        <v>2.7560390642202837</v>
      </c>
      <c r="K15" s="287">
        <v>5.339333495499865</v>
      </c>
      <c r="L15" s="287">
        <v>-0.67035589203930934</v>
      </c>
      <c r="M15" s="287">
        <v>-3.8475216807099311</v>
      </c>
      <c r="N15" s="287">
        <v>9.3529041812322902</v>
      </c>
      <c r="O15" s="287">
        <v>-1.9176632698586937</v>
      </c>
      <c r="P15" s="287">
        <v>-0.85406435338003517</v>
      </c>
      <c r="Q15" s="287">
        <v>-3.9048849971917488</v>
      </c>
      <c r="R15" s="287">
        <v>-7.0507960779876306</v>
      </c>
      <c r="S15" s="287">
        <v>0.91280844626604463</v>
      </c>
      <c r="T15" s="287">
        <v>2.0708322798241197</v>
      </c>
      <c r="U15" s="287">
        <v>1.7433145012103024</v>
      </c>
      <c r="V15" s="288">
        <v>2.531465540447253</v>
      </c>
    </row>
    <row r="16" spans="1:22">
      <c r="A16" s="269"/>
      <c r="B16" s="242" t="s">
        <v>404</v>
      </c>
      <c r="C16" s="247">
        <v>12.939945999999999</v>
      </c>
      <c r="D16" s="248">
        <v>13.714922999999999</v>
      </c>
      <c r="E16" s="248">
        <v>14.005614000000001</v>
      </c>
      <c r="F16" s="248">
        <v>13.676168000000002</v>
      </c>
      <c r="G16" s="248">
        <v>13.401536</v>
      </c>
      <c r="H16" s="248">
        <v>13.600327000000002</v>
      </c>
      <c r="I16" s="248">
        <v>14.11434</v>
      </c>
      <c r="J16" s="248">
        <v>14.862878</v>
      </c>
      <c r="K16" s="248">
        <v>15.149528999999999</v>
      </c>
      <c r="L16" s="248">
        <v>15.309517</v>
      </c>
      <c r="M16" s="248">
        <v>15.385</v>
      </c>
      <c r="N16" s="248">
        <v>16.081129000000001</v>
      </c>
      <c r="O16" s="248">
        <v>15.981214</v>
      </c>
      <c r="P16" s="248">
        <v>16.646328</v>
      </c>
      <c r="Q16" s="248">
        <v>15.933419000000002</v>
      </c>
      <c r="R16" s="248">
        <v>15.714045915808077</v>
      </c>
      <c r="S16" s="248">
        <v>15.117427924522341</v>
      </c>
      <c r="T16" s="248">
        <v>15.238646523328185</v>
      </c>
      <c r="U16" s="248">
        <v>15.475412368220557</v>
      </c>
      <c r="V16" s="284">
        <v>15.745446702776846</v>
      </c>
    </row>
    <row r="17" spans="1:25">
      <c r="A17" s="269"/>
      <c r="B17" s="285" t="s">
        <v>401</v>
      </c>
      <c r="C17" s="286">
        <v>6.2742038661468325</v>
      </c>
      <c r="D17" s="287">
        <v>5.9890280840430021</v>
      </c>
      <c r="E17" s="287">
        <v>2.1195233833978033</v>
      </c>
      <c r="F17" s="287">
        <v>-2.3522424650572304</v>
      </c>
      <c r="G17" s="287">
        <v>-2.0081063642973795</v>
      </c>
      <c r="H17" s="287">
        <v>1.4833448941972138</v>
      </c>
      <c r="I17" s="287">
        <v>3.7794164802066765</v>
      </c>
      <c r="J17" s="287">
        <v>5.3033864849507673</v>
      </c>
      <c r="K17" s="287">
        <v>1.9286372397055107</v>
      </c>
      <c r="L17" s="287">
        <v>1.0560592345808306</v>
      </c>
      <c r="M17" s="287">
        <v>0.49304625351669351</v>
      </c>
      <c r="N17" s="287">
        <v>4.5247253818654576</v>
      </c>
      <c r="O17" s="287">
        <v>-0.62131831664307136</v>
      </c>
      <c r="P17" s="287">
        <v>4.1618490309935252</v>
      </c>
      <c r="Q17" s="287">
        <v>-4.2826802403509001</v>
      </c>
      <c r="R17" s="287">
        <v>-1.376811117512966</v>
      </c>
      <c r="S17" s="287">
        <v>-3.7967178820926595</v>
      </c>
      <c r="T17" s="287">
        <v>0.80184671235781213</v>
      </c>
      <c r="U17" s="287">
        <v>1.5537196464916914</v>
      </c>
      <c r="V17" s="288">
        <v>1.7449249695653757</v>
      </c>
    </row>
    <row r="18" spans="1:25">
      <c r="A18" s="269"/>
      <c r="B18" s="242" t="s">
        <v>405</v>
      </c>
      <c r="C18" s="247">
        <v>16.751147</v>
      </c>
      <c r="D18" s="248">
        <v>13.445321</v>
      </c>
      <c r="E18" s="248">
        <v>14.595858</v>
      </c>
      <c r="F18" s="248">
        <v>16.653268000000004</v>
      </c>
      <c r="G18" s="248">
        <v>14.993024000000002</v>
      </c>
      <c r="H18" s="248">
        <v>15.174053000000001</v>
      </c>
      <c r="I18" s="248">
        <v>15.627580000000002</v>
      </c>
      <c r="J18" s="248">
        <v>18.971017</v>
      </c>
      <c r="K18" s="248">
        <v>17.223419000000003</v>
      </c>
      <c r="L18" s="248">
        <v>17.723839000000002</v>
      </c>
      <c r="M18" s="248">
        <v>18.218177999999998</v>
      </c>
      <c r="N18" s="248">
        <v>19.442806000000001</v>
      </c>
      <c r="O18" s="248">
        <v>17.327030000000001</v>
      </c>
      <c r="P18" s="248">
        <v>17.928432999999998</v>
      </c>
      <c r="Q18" s="248">
        <v>18.984629999999996</v>
      </c>
      <c r="R18" s="248">
        <v>21.247659770761427</v>
      </c>
      <c r="S18" s="248">
        <v>21.900486783757877</v>
      </c>
      <c r="T18" s="248">
        <v>22.691290868399349</v>
      </c>
      <c r="U18" s="248">
        <v>21.506969850185385</v>
      </c>
      <c r="V18" s="284">
        <v>21.368691332631514</v>
      </c>
    </row>
    <row r="19" spans="1:25">
      <c r="A19" s="269"/>
      <c r="B19" s="285" t="s">
        <v>401</v>
      </c>
      <c r="C19" s="286">
        <v>3.6906516124339817</v>
      </c>
      <c r="D19" s="287">
        <v>-19.734923226451308</v>
      </c>
      <c r="E19" s="287">
        <v>8.5571553107582901</v>
      </c>
      <c r="F19" s="287">
        <v>14.095848287918411</v>
      </c>
      <c r="G19" s="287">
        <v>-9.9694786632870009</v>
      </c>
      <c r="H19" s="287">
        <v>1.2074215315069026</v>
      </c>
      <c r="I19" s="287">
        <v>2.9888323179047882</v>
      </c>
      <c r="J19" s="287">
        <v>21.394464146080196</v>
      </c>
      <c r="K19" s="287">
        <v>-9.2119362920817451</v>
      </c>
      <c r="L19" s="287">
        <v>2.9054626145946783</v>
      </c>
      <c r="M19" s="287">
        <v>2.7891192196002335</v>
      </c>
      <c r="N19" s="287">
        <v>6.7220113888446953</v>
      </c>
      <c r="O19" s="287">
        <v>-10.882050666966492</v>
      </c>
      <c r="P19" s="287">
        <v>3.4708948965864295</v>
      </c>
      <c r="Q19" s="287">
        <v>5.8911841319316594</v>
      </c>
      <c r="R19" s="287">
        <v>11.920325920291464</v>
      </c>
      <c r="S19" s="287">
        <v>3.0724654857980926</v>
      </c>
      <c r="T19" s="287">
        <v>3.6108972939722817</v>
      </c>
      <c r="U19" s="287">
        <v>-5.2192756466900132</v>
      </c>
      <c r="V19" s="288">
        <v>-0.64294746548257953</v>
      </c>
    </row>
    <row r="20" spans="1:25">
      <c r="A20" s="269"/>
      <c r="B20" s="242" t="s">
        <v>406</v>
      </c>
      <c r="C20" s="247">
        <v>52.837835000000005</v>
      </c>
      <c r="D20" s="248">
        <v>44.189901000000006</v>
      </c>
      <c r="E20" s="248">
        <v>51.850507000000007</v>
      </c>
      <c r="F20" s="248">
        <v>57.362293000000008</v>
      </c>
      <c r="G20" s="248">
        <v>62.607472999999999</v>
      </c>
      <c r="H20" s="248">
        <v>66.37036599999999</v>
      </c>
      <c r="I20" s="248">
        <v>68.823053000000002</v>
      </c>
      <c r="J20" s="248">
        <v>73.395839999999993</v>
      </c>
      <c r="K20" s="248">
        <v>77.088296999999997</v>
      </c>
      <c r="L20" s="248">
        <v>79.927084000000008</v>
      </c>
      <c r="M20" s="248">
        <v>84.020714999999996</v>
      </c>
      <c r="N20" s="248">
        <v>84.683250999999998</v>
      </c>
      <c r="O20" s="248">
        <v>79.313600999999991</v>
      </c>
      <c r="P20" s="248">
        <v>87.968478000000005</v>
      </c>
      <c r="Q20" s="248">
        <v>89.969553999999988</v>
      </c>
      <c r="R20" s="248">
        <v>88.334662994883303</v>
      </c>
      <c r="S20" s="248">
        <v>93.334711938701318</v>
      </c>
      <c r="T20" s="248">
        <v>99.80396203178752</v>
      </c>
      <c r="U20" s="248">
        <v>106.47623630095327</v>
      </c>
      <c r="V20" s="284">
        <v>111.83215224039898</v>
      </c>
    </row>
    <row r="21" spans="1:25">
      <c r="A21" s="269"/>
      <c r="B21" s="285" t="s">
        <v>401</v>
      </c>
      <c r="C21" s="286">
        <v>3.0103031290096505</v>
      </c>
      <c r="D21" s="287">
        <v>-16.366934792086006</v>
      </c>
      <c r="E21" s="287">
        <v>17.335648703987804</v>
      </c>
      <c r="F21" s="287">
        <v>10.630148708092669</v>
      </c>
      <c r="G21" s="287">
        <v>9.1439510620678899</v>
      </c>
      <c r="H21" s="287">
        <v>6.0102936912978411</v>
      </c>
      <c r="I21" s="287">
        <v>3.6954549866426989</v>
      </c>
      <c r="J21" s="287">
        <v>6.6442664204390933</v>
      </c>
      <c r="K21" s="287">
        <v>5.0308804967692966</v>
      </c>
      <c r="L21" s="287">
        <v>3.682513572715207</v>
      </c>
      <c r="M21" s="287">
        <v>5.1217069297811335</v>
      </c>
      <c r="N21" s="287">
        <v>0.78853887401459932</v>
      </c>
      <c r="O21" s="287">
        <v>-6.3408642637019286</v>
      </c>
      <c r="P21" s="287">
        <v>10.912222986824172</v>
      </c>
      <c r="Q21" s="287">
        <v>2.2747648311023161</v>
      </c>
      <c r="R21" s="287">
        <v>-1.8171602863749747</v>
      </c>
      <c r="S21" s="287">
        <v>5.6603475626636479</v>
      </c>
      <c r="T21" s="287">
        <v>6.9312370057293959</v>
      </c>
      <c r="U21" s="287">
        <v>6.6853801525841527</v>
      </c>
      <c r="V21" s="288">
        <v>5.0301514455369123</v>
      </c>
    </row>
    <row r="22" spans="1:25">
      <c r="A22" s="269"/>
      <c r="B22" s="242" t="s">
        <v>407</v>
      </c>
      <c r="C22" s="247">
        <v>56.908987000000003</v>
      </c>
      <c r="D22" s="248">
        <v>46.148643999999997</v>
      </c>
      <c r="E22" s="248">
        <v>53.802208000000007</v>
      </c>
      <c r="F22" s="248">
        <v>57.999735000000001</v>
      </c>
      <c r="G22" s="248">
        <v>59.214770999999999</v>
      </c>
      <c r="H22" s="248">
        <v>62.575908000000005</v>
      </c>
      <c r="I22" s="248">
        <v>65.409880999999999</v>
      </c>
      <c r="J22" s="248">
        <v>70.981709000000009</v>
      </c>
      <c r="K22" s="248">
        <v>74.407977000000002</v>
      </c>
      <c r="L22" s="248">
        <v>77.442313999999996</v>
      </c>
      <c r="M22" s="248">
        <v>81.136448999999999</v>
      </c>
      <c r="N22" s="248">
        <v>82.905795000000012</v>
      </c>
      <c r="O22" s="248">
        <v>76.161551000000003</v>
      </c>
      <c r="P22" s="248">
        <v>85.371434999999991</v>
      </c>
      <c r="Q22" s="248">
        <v>88.776933</v>
      </c>
      <c r="R22" s="248">
        <v>83.774571358039495</v>
      </c>
      <c r="S22" s="248">
        <v>89.633291638726291</v>
      </c>
      <c r="T22" s="248">
        <v>95.146144516389882</v>
      </c>
      <c r="U22" s="248">
        <v>99.747683076656216</v>
      </c>
      <c r="V22" s="284">
        <v>104.57027805537733</v>
      </c>
      <c r="Y22" s="289"/>
    </row>
    <row r="23" spans="1:25">
      <c r="A23" s="269"/>
      <c r="B23" s="285" t="s">
        <v>401</v>
      </c>
      <c r="C23" s="286">
        <v>4.108036099843404</v>
      </c>
      <c r="D23" s="287">
        <v>-18.907985482152412</v>
      </c>
      <c r="E23" s="287">
        <v>16.58459130456793</v>
      </c>
      <c r="F23" s="287">
        <v>7.8017746037486013</v>
      </c>
      <c r="G23" s="287">
        <v>2.0948992266947464</v>
      </c>
      <c r="H23" s="287">
        <v>5.6761800193401157</v>
      </c>
      <c r="I23" s="287">
        <v>4.5288563771219925</v>
      </c>
      <c r="J23" s="287">
        <v>8.518327682021031</v>
      </c>
      <c r="K23" s="287">
        <v>4.8269731009153327</v>
      </c>
      <c r="L23" s="287">
        <v>4.077972715210354</v>
      </c>
      <c r="M23" s="287">
        <v>4.7701764180238637</v>
      </c>
      <c r="N23" s="287">
        <v>2.1807042603010807</v>
      </c>
      <c r="O23" s="287">
        <v>-8.134828210742084</v>
      </c>
      <c r="P23" s="287">
        <v>12.09256360863764</v>
      </c>
      <c r="Q23" s="287">
        <v>3.9890368482150995</v>
      </c>
      <c r="R23" s="287">
        <v>-5.6347538407983899</v>
      </c>
      <c r="S23" s="287">
        <v>6.9934351029353969</v>
      </c>
      <c r="T23" s="287">
        <v>6.1504523340318196</v>
      </c>
      <c r="U23" s="287">
        <v>4.8362848370316014</v>
      </c>
      <c r="V23" s="288">
        <v>4.8347939821468788</v>
      </c>
    </row>
    <row r="24" spans="1:25">
      <c r="A24" s="290"/>
      <c r="B24" s="291"/>
      <c r="C24" s="292"/>
      <c r="D24" s="293"/>
      <c r="E24" s="293"/>
      <c r="F24" s="293"/>
      <c r="G24" s="293"/>
      <c r="H24" s="293"/>
      <c r="I24" s="293"/>
      <c r="J24" s="293"/>
      <c r="K24" s="293"/>
      <c r="L24" s="293"/>
      <c r="M24" s="293"/>
      <c r="N24" s="293"/>
      <c r="O24" s="293"/>
      <c r="P24" s="293"/>
      <c r="Q24" s="293"/>
      <c r="R24" s="293"/>
      <c r="S24" s="294"/>
      <c r="T24" s="294"/>
      <c r="U24" s="636"/>
      <c r="V24" s="295"/>
    </row>
    <row r="25" spans="1:25">
      <c r="A25" s="269"/>
      <c r="B25" s="296"/>
      <c r="C25" s="297"/>
      <c r="D25" s="298"/>
      <c r="E25" s="299"/>
      <c r="F25" s="299"/>
      <c r="G25" s="299"/>
      <c r="H25" s="299"/>
      <c r="I25" s="299"/>
      <c r="J25" s="299"/>
      <c r="K25" s="299"/>
      <c r="L25" s="299"/>
      <c r="M25" s="299"/>
      <c r="N25" s="299"/>
      <c r="O25" s="299"/>
      <c r="P25" s="299"/>
      <c r="Q25" s="299"/>
      <c r="R25" s="299"/>
      <c r="S25" s="299"/>
      <c r="T25" s="299"/>
      <c r="U25" s="299"/>
      <c r="V25" s="300"/>
    </row>
    <row r="26" spans="1:25">
      <c r="A26" s="269"/>
      <c r="B26" s="281" t="s">
        <v>408</v>
      </c>
      <c r="C26" s="225"/>
      <c r="D26" s="227"/>
      <c r="E26" s="263"/>
      <c r="F26" s="263"/>
      <c r="G26" s="263"/>
      <c r="H26" s="263"/>
      <c r="I26" s="263"/>
      <c r="J26" s="263"/>
      <c r="K26" s="263"/>
      <c r="L26" s="263"/>
      <c r="M26" s="263"/>
      <c r="N26" s="263"/>
      <c r="O26" s="263"/>
      <c r="P26" s="263"/>
      <c r="Q26" s="263"/>
      <c r="R26" s="263"/>
      <c r="U26" s="318"/>
      <c r="V26" s="301"/>
    </row>
    <row r="27" spans="1:25">
      <c r="A27" s="269"/>
      <c r="B27" s="283"/>
      <c r="C27" s="225"/>
      <c r="D27" s="227"/>
      <c r="E27" s="263"/>
      <c r="F27" s="263"/>
      <c r="G27" s="263"/>
      <c r="H27" s="263"/>
      <c r="I27" s="263"/>
      <c r="J27" s="263"/>
      <c r="K27" s="263"/>
      <c r="L27" s="263"/>
      <c r="M27" s="263"/>
      <c r="N27" s="263"/>
      <c r="O27" s="263"/>
      <c r="P27" s="263"/>
      <c r="Q27" s="263"/>
      <c r="R27" s="263"/>
      <c r="U27" s="318"/>
      <c r="V27" s="301"/>
    </row>
    <row r="28" spans="1:25">
      <c r="A28" s="269"/>
      <c r="B28" s="242" t="s">
        <v>400</v>
      </c>
      <c r="C28" s="247">
        <v>68.590534000000005</v>
      </c>
      <c r="D28" s="248">
        <v>64.095518999999996</v>
      </c>
      <c r="E28" s="248">
        <v>68.764947000000006</v>
      </c>
      <c r="F28" s="248">
        <v>71.785845999999992</v>
      </c>
      <c r="G28" s="248">
        <v>73.649256999999992</v>
      </c>
      <c r="H28" s="248">
        <v>74.492792999999992</v>
      </c>
      <c r="I28" s="248">
        <v>76.354523999999998</v>
      </c>
      <c r="J28" s="248">
        <v>80.126047999999997</v>
      </c>
      <c r="K28" s="248">
        <v>81.265197000000001</v>
      </c>
      <c r="L28" s="248">
        <v>84.669877000000014</v>
      </c>
      <c r="M28" s="248">
        <v>89.874692999999994</v>
      </c>
      <c r="N28" s="248">
        <v>94.428280000000015</v>
      </c>
      <c r="O28" s="248">
        <v>93.441849999999988</v>
      </c>
      <c r="P28" s="248">
        <v>100.323453</v>
      </c>
      <c r="Q28" s="248">
        <v>109.65191899999999</v>
      </c>
      <c r="R28" s="248">
        <v>120.97877850866999</v>
      </c>
      <c r="S28" s="248">
        <v>130.3331790215646</v>
      </c>
      <c r="T28" s="248">
        <v>138.13945446748448</v>
      </c>
      <c r="U28" s="248">
        <v>144.40667699988407</v>
      </c>
      <c r="V28" s="284">
        <v>152.17260347852744</v>
      </c>
    </row>
    <row r="29" spans="1:25">
      <c r="A29" s="269"/>
      <c r="B29" s="285" t="s">
        <v>401</v>
      </c>
      <c r="C29" s="286">
        <v>8.5922957350331952</v>
      </c>
      <c r="D29" s="287">
        <v>-6.5534042933679482</v>
      </c>
      <c r="E29" s="287">
        <v>7.2851083396329175</v>
      </c>
      <c r="F29" s="287">
        <v>4.3930798056166509</v>
      </c>
      <c r="G29" s="287">
        <v>2.5957916550847671</v>
      </c>
      <c r="H29" s="287">
        <v>1.1453421722910084</v>
      </c>
      <c r="I29" s="287">
        <v>2.4992095544061677</v>
      </c>
      <c r="J29" s="287">
        <v>4.9394898984636226</v>
      </c>
      <c r="K29" s="287">
        <v>1.421696225427227</v>
      </c>
      <c r="L29" s="287">
        <v>4.1895917633719693</v>
      </c>
      <c r="M29" s="287">
        <v>6.1471873875522443</v>
      </c>
      <c r="N29" s="287">
        <v>5.0665953317915902</v>
      </c>
      <c r="O29" s="287">
        <v>-1.0446340863140002</v>
      </c>
      <c r="P29" s="287">
        <v>7.3645834280892331</v>
      </c>
      <c r="Q29" s="287">
        <v>9.2983900783399029</v>
      </c>
      <c r="R29" s="287">
        <v>10.329832447957422</v>
      </c>
      <c r="S29" s="287">
        <v>7.732265632211055</v>
      </c>
      <c r="T29" s="287">
        <v>5.9894767430082263</v>
      </c>
      <c r="U29" s="287">
        <v>4.5368809052845682</v>
      </c>
      <c r="V29" s="288">
        <v>5.3778167602662741</v>
      </c>
    </row>
    <row r="30" spans="1:25">
      <c r="A30" s="269"/>
      <c r="B30" s="242" t="s">
        <v>402</v>
      </c>
      <c r="C30" s="247">
        <v>37.666879000000002</v>
      </c>
      <c r="D30" s="248">
        <v>37.599816999999994</v>
      </c>
      <c r="E30" s="248">
        <v>38.295244999999994</v>
      </c>
      <c r="F30" s="248">
        <v>39.015353000000005</v>
      </c>
      <c r="G30" s="248">
        <v>40.545577999999999</v>
      </c>
      <c r="H30" s="248">
        <v>40.593966000000002</v>
      </c>
      <c r="I30" s="248">
        <v>41.335594</v>
      </c>
      <c r="J30" s="248">
        <v>42.425681000000004</v>
      </c>
      <c r="K30" s="248">
        <v>43.921543000000007</v>
      </c>
      <c r="L30" s="248">
        <v>46.625399999999999</v>
      </c>
      <c r="M30" s="248">
        <v>49.698645000000006</v>
      </c>
      <c r="N30" s="248">
        <v>52.363706999999998</v>
      </c>
      <c r="O30" s="248">
        <v>52.871105</v>
      </c>
      <c r="P30" s="248">
        <v>56.042135000000002</v>
      </c>
      <c r="Q30" s="248">
        <v>66.451923000000008</v>
      </c>
      <c r="R30" s="248">
        <v>73.024658995185703</v>
      </c>
      <c r="S30" s="248">
        <v>77.025013677181036</v>
      </c>
      <c r="T30" s="248">
        <v>80.921244701014871</v>
      </c>
      <c r="U30" s="248">
        <v>84.374409040634603</v>
      </c>
      <c r="V30" s="284">
        <v>88.740011138489592</v>
      </c>
    </row>
    <row r="31" spans="1:25">
      <c r="A31" s="269"/>
      <c r="B31" s="285" t="s">
        <v>401</v>
      </c>
      <c r="C31" s="286">
        <v>11.800179221602658</v>
      </c>
      <c r="D31" s="287">
        <v>-0.1780397043248616</v>
      </c>
      <c r="E31" s="287">
        <v>1.8495515549982633</v>
      </c>
      <c r="F31" s="287">
        <v>1.8804110014180919</v>
      </c>
      <c r="G31" s="287">
        <v>3.9221098422459466</v>
      </c>
      <c r="H31" s="287">
        <v>0.11934223751848272</v>
      </c>
      <c r="I31" s="287">
        <v>1.8269414720404331</v>
      </c>
      <c r="J31" s="287">
        <v>2.6371630222611797</v>
      </c>
      <c r="K31" s="287">
        <v>3.5258408698259913</v>
      </c>
      <c r="L31" s="287">
        <v>6.1561065830496808</v>
      </c>
      <c r="M31" s="287">
        <v>6.5913536398615413</v>
      </c>
      <c r="N31" s="287">
        <v>5.3624439861488904</v>
      </c>
      <c r="O31" s="287">
        <v>0.96898792898678643</v>
      </c>
      <c r="P31" s="287">
        <v>5.9976616717203113</v>
      </c>
      <c r="Q31" s="287">
        <v>18.574931165631025</v>
      </c>
      <c r="R31" s="287">
        <v>9.8909643219590393</v>
      </c>
      <c r="S31" s="287">
        <v>5.4780874529781309</v>
      </c>
      <c r="T31" s="287">
        <v>5.0583970554855195</v>
      </c>
      <c r="U31" s="287">
        <v>4.267314908931974</v>
      </c>
      <c r="V31" s="288">
        <v>5.1740831698773748</v>
      </c>
    </row>
    <row r="32" spans="1:25">
      <c r="A32" s="269"/>
      <c r="B32" s="242" t="s">
        <v>403</v>
      </c>
      <c r="C32" s="247">
        <v>0.625587</v>
      </c>
      <c r="D32" s="248">
        <v>0.64738300000000004</v>
      </c>
      <c r="E32" s="248">
        <v>0.65737000000000001</v>
      </c>
      <c r="F32" s="248">
        <v>0.66988000000000014</v>
      </c>
      <c r="G32" s="248">
        <v>0.66457300000000008</v>
      </c>
      <c r="H32" s="248">
        <v>0.67239700000000002</v>
      </c>
      <c r="I32" s="248">
        <v>0.66843800000000009</v>
      </c>
      <c r="J32" s="248">
        <v>0.69064800000000015</v>
      </c>
      <c r="K32" s="248">
        <v>0.73486899999999999</v>
      </c>
      <c r="L32" s="248">
        <v>0.75113399999999997</v>
      </c>
      <c r="M32" s="248">
        <v>0.74919399999999992</v>
      </c>
      <c r="N32" s="248">
        <v>0.861317</v>
      </c>
      <c r="O32" s="248">
        <v>0.89772000000000007</v>
      </c>
      <c r="P32" s="248">
        <v>0.92148200000000002</v>
      </c>
      <c r="Q32" s="248">
        <v>0.97672800000000004</v>
      </c>
      <c r="R32" s="248">
        <v>1.0159762455621515</v>
      </c>
      <c r="S32" s="248">
        <v>1.0716323127955303</v>
      </c>
      <c r="T32" s="248">
        <v>1.1258397301516108</v>
      </c>
      <c r="U32" s="248">
        <v>1.1738828568070501</v>
      </c>
      <c r="V32" s="284">
        <v>1.2346205321351793</v>
      </c>
    </row>
    <row r="33" spans="1:22">
      <c r="A33" s="269"/>
      <c r="B33" s="285" t="s">
        <v>401</v>
      </c>
      <c r="C33" s="286">
        <v>12.560388211861184</v>
      </c>
      <c r="D33" s="287">
        <v>3.4840877447900986</v>
      </c>
      <c r="E33" s="287">
        <v>1.5426725755850912</v>
      </c>
      <c r="F33" s="287">
        <v>1.9030378629995459</v>
      </c>
      <c r="G33" s="287">
        <v>-0.79223144443780757</v>
      </c>
      <c r="H33" s="287">
        <v>1.1772973021774824</v>
      </c>
      <c r="I33" s="287">
        <v>-0.58878906360378958</v>
      </c>
      <c r="J33" s="287">
        <v>3.3226716613956819</v>
      </c>
      <c r="K33" s="287">
        <v>6.4028274895460369</v>
      </c>
      <c r="L33" s="287">
        <v>2.2133196528905108</v>
      </c>
      <c r="M33" s="287">
        <v>-0.25827615312314922</v>
      </c>
      <c r="N33" s="287">
        <v>14.965816597570193</v>
      </c>
      <c r="O33" s="287">
        <v>4.2264346344029091</v>
      </c>
      <c r="P33" s="287">
        <v>2.6469277725794216</v>
      </c>
      <c r="Q33" s="287">
        <v>5.9953422855791194</v>
      </c>
      <c r="R33" s="287">
        <v>4.0183393495580644</v>
      </c>
      <c r="S33" s="287">
        <v>5.4780874529781531</v>
      </c>
      <c r="T33" s="287">
        <v>5.0583970554855417</v>
      </c>
      <c r="U33" s="287">
        <v>4.267314908931974</v>
      </c>
      <c r="V33" s="288">
        <v>5.1740831698773748</v>
      </c>
    </row>
    <row r="34" spans="1:22">
      <c r="A34" s="269"/>
      <c r="B34" s="242" t="s">
        <v>404</v>
      </c>
      <c r="C34" s="247">
        <v>12.026101000000001</v>
      </c>
      <c r="D34" s="248">
        <v>12.814836000000001</v>
      </c>
      <c r="E34" s="248">
        <v>13.199986999999998</v>
      </c>
      <c r="F34" s="248">
        <v>13.148378000000001</v>
      </c>
      <c r="G34" s="248">
        <v>13.125932000000001</v>
      </c>
      <c r="H34" s="248">
        <v>13.465238000000001</v>
      </c>
      <c r="I34" s="248">
        <v>14.017179000000002</v>
      </c>
      <c r="J34" s="248">
        <v>14.862878</v>
      </c>
      <c r="K34" s="248">
        <v>15.343073</v>
      </c>
      <c r="L34" s="248">
        <v>16.000112000000001</v>
      </c>
      <c r="M34" s="248">
        <v>16.760659</v>
      </c>
      <c r="N34" s="248">
        <v>18.491523999999998</v>
      </c>
      <c r="O34" s="248">
        <v>19.572590999999999</v>
      </c>
      <c r="P34" s="248">
        <v>21.179241000000001</v>
      </c>
      <c r="Q34" s="248">
        <v>22.602104000000001</v>
      </c>
      <c r="R34" s="248">
        <v>25.070264447146268</v>
      </c>
      <c r="S34" s="248">
        <v>26.199451418845872</v>
      </c>
      <c r="T34" s="248">
        <v>27.51903540741716</v>
      </c>
      <c r="U34" s="248">
        <v>29.167199046365226</v>
      </c>
      <c r="V34" s="284">
        <v>30.848622554507838</v>
      </c>
    </row>
    <row r="35" spans="1:22">
      <c r="A35" s="269"/>
      <c r="B35" s="285" t="s">
        <v>401</v>
      </c>
      <c r="C35" s="286">
        <v>11.067087522364915</v>
      </c>
      <c r="D35" s="287">
        <v>6.5585263253651327</v>
      </c>
      <c r="E35" s="287">
        <v>3.0055086151707044</v>
      </c>
      <c r="F35" s="287">
        <v>-0.3909776577810109</v>
      </c>
      <c r="G35" s="287">
        <v>-0.17071307198499586</v>
      </c>
      <c r="H35" s="287">
        <v>2.5850050114536671</v>
      </c>
      <c r="I35" s="287">
        <v>4.0990066421403126</v>
      </c>
      <c r="J35" s="287">
        <v>6.0333038480852474</v>
      </c>
      <c r="K35" s="287">
        <v>3.2308345664951332</v>
      </c>
      <c r="L35" s="287">
        <v>4.2823168474789952</v>
      </c>
      <c r="M35" s="287">
        <v>4.7533854763016636</v>
      </c>
      <c r="N35" s="287">
        <v>10.326950748177621</v>
      </c>
      <c r="O35" s="287">
        <v>5.8462839515012632</v>
      </c>
      <c r="P35" s="287">
        <v>8.2086730366970997</v>
      </c>
      <c r="Q35" s="287">
        <v>6.7181963697376945</v>
      </c>
      <c r="R35" s="287">
        <v>10.920047298013813</v>
      </c>
      <c r="S35" s="287">
        <v>4.5040887944368446</v>
      </c>
      <c r="T35" s="287">
        <v>5.0366855682408618</v>
      </c>
      <c r="U35" s="287">
        <v>5.9891766355438358</v>
      </c>
      <c r="V35" s="288">
        <v>5.7647753747960495</v>
      </c>
    </row>
    <row r="36" spans="1:22">
      <c r="A36" s="269"/>
      <c r="B36" s="242" t="s">
        <v>405</v>
      </c>
      <c r="C36" s="247">
        <v>16.976618999999999</v>
      </c>
      <c r="D36" s="248">
        <v>13.332713</v>
      </c>
      <c r="E36" s="248">
        <v>14.452515</v>
      </c>
      <c r="F36" s="248">
        <v>16.636611000000002</v>
      </c>
      <c r="G36" s="248">
        <v>15.001258999999999</v>
      </c>
      <c r="H36" s="248">
        <v>15.244318</v>
      </c>
      <c r="I36" s="248">
        <v>15.635483999999998</v>
      </c>
      <c r="J36" s="248">
        <v>18.971017</v>
      </c>
      <c r="K36" s="248">
        <v>17.091296999999997</v>
      </c>
      <c r="L36" s="248">
        <v>17.86936</v>
      </c>
      <c r="M36" s="248">
        <v>18.787341999999999</v>
      </c>
      <c r="N36" s="248">
        <v>20.292404999999999</v>
      </c>
      <c r="O36" s="248">
        <v>18.210227</v>
      </c>
      <c r="P36" s="248">
        <v>19.254642</v>
      </c>
      <c r="Q36" s="248">
        <v>22.331925999999999</v>
      </c>
      <c r="R36" s="248">
        <v>26.860135761104669</v>
      </c>
      <c r="S36" s="248">
        <v>28.785606272137542</v>
      </c>
      <c r="T36" s="248">
        <v>30.887728836416201</v>
      </c>
      <c r="U36" s="248">
        <v>30.094234424491681</v>
      </c>
      <c r="V36" s="284">
        <v>30.754412176000148</v>
      </c>
    </row>
    <row r="37" spans="1:22">
      <c r="A37" s="269"/>
      <c r="B37" s="285" t="s">
        <v>401</v>
      </c>
      <c r="C37" s="286">
        <v>5.7024175744533112</v>
      </c>
      <c r="D37" s="287">
        <v>-21.464262112497188</v>
      </c>
      <c r="E37" s="287">
        <v>8.3989057590904359</v>
      </c>
      <c r="F37" s="287">
        <v>15.112220952547029</v>
      </c>
      <c r="G37" s="287">
        <v>-9.8298385410345972</v>
      </c>
      <c r="H37" s="287">
        <v>1.6202573397339437</v>
      </c>
      <c r="I37" s="287">
        <v>2.5659790093594204</v>
      </c>
      <c r="J37" s="287">
        <v>21.333097203770613</v>
      </c>
      <c r="K37" s="287">
        <v>-9.9083776056918875</v>
      </c>
      <c r="L37" s="287">
        <v>4.5523929518046735</v>
      </c>
      <c r="M37" s="287">
        <v>5.1371845438225039</v>
      </c>
      <c r="N37" s="287">
        <v>8.0110480769445722</v>
      </c>
      <c r="O37" s="287">
        <v>-10.260873464727316</v>
      </c>
      <c r="P37" s="287">
        <v>5.7353211467380483</v>
      </c>
      <c r="Q37" s="287">
        <v>15.982036955036616</v>
      </c>
      <c r="R37" s="287">
        <v>20.276843838299797</v>
      </c>
      <c r="S37" s="287">
        <v>7.1685062508920261</v>
      </c>
      <c r="T37" s="287">
        <v>7.3026864343425979</v>
      </c>
      <c r="U37" s="287">
        <v>-2.5689632802946671</v>
      </c>
      <c r="V37" s="288">
        <v>2.1937017642528645</v>
      </c>
    </row>
    <row r="38" spans="1:22">
      <c r="A38" s="269"/>
      <c r="B38" s="242" t="s">
        <v>406</v>
      </c>
      <c r="C38" s="247">
        <v>54.973938000000011</v>
      </c>
      <c r="D38" s="248">
        <v>43.608103</v>
      </c>
      <c r="E38" s="248">
        <v>52.647456000000005</v>
      </c>
      <c r="F38" s="248">
        <v>60.542949</v>
      </c>
      <c r="G38" s="248">
        <v>66.896657000000005</v>
      </c>
      <c r="H38" s="248">
        <v>69.607559999999992</v>
      </c>
      <c r="I38" s="248">
        <v>69.788095999999996</v>
      </c>
      <c r="J38" s="248">
        <v>73.395839999999993</v>
      </c>
      <c r="K38" s="248">
        <v>75.955366000000012</v>
      </c>
      <c r="L38" s="248">
        <v>80.499315999999993</v>
      </c>
      <c r="M38" s="248">
        <v>86.132177000000013</v>
      </c>
      <c r="N38" s="248">
        <v>86.789127000000008</v>
      </c>
      <c r="O38" s="248">
        <v>79.479816999999997</v>
      </c>
      <c r="P38" s="248">
        <v>92.652589000000006</v>
      </c>
      <c r="Q38" s="248">
        <v>108.626043</v>
      </c>
      <c r="R38" s="248">
        <v>113.25514483267386</v>
      </c>
      <c r="S38" s="248">
        <v>124.27741197695282</v>
      </c>
      <c r="T38" s="248">
        <v>137.27811074995205</v>
      </c>
      <c r="U38" s="248">
        <v>150.66154691599561</v>
      </c>
      <c r="V38" s="284">
        <v>162.55426361835859</v>
      </c>
    </row>
    <row r="39" spans="1:22">
      <c r="A39" s="269"/>
      <c r="B39" s="285" t="s">
        <v>401</v>
      </c>
      <c r="C39" s="286">
        <v>4.3819248824107149</v>
      </c>
      <c r="D39" s="287">
        <v>-20.674951465183376</v>
      </c>
      <c r="E39" s="287">
        <v>20.728608625786826</v>
      </c>
      <c r="F39" s="287">
        <v>14.996912671335894</v>
      </c>
      <c r="G39" s="287">
        <v>10.494546606905475</v>
      </c>
      <c r="H39" s="287">
        <v>4.0523743959283154</v>
      </c>
      <c r="I39" s="287">
        <v>0.25936263244967783</v>
      </c>
      <c r="J39" s="287">
        <v>5.1695693202462589</v>
      </c>
      <c r="K39" s="287">
        <v>3.4872902878419376</v>
      </c>
      <c r="L39" s="287">
        <v>5.9823949765444917</v>
      </c>
      <c r="M39" s="287">
        <v>6.99740231333148</v>
      </c>
      <c r="N39" s="287">
        <v>0.76272308779563591</v>
      </c>
      <c r="O39" s="287">
        <v>-8.4219190267923913</v>
      </c>
      <c r="P39" s="287">
        <v>16.57373217152729</v>
      </c>
      <c r="Q39" s="287">
        <v>17.24015936564922</v>
      </c>
      <c r="R39" s="287">
        <v>4.2615027711852438</v>
      </c>
      <c r="S39" s="287">
        <v>9.7322440941323585</v>
      </c>
      <c r="T39" s="287">
        <v>10.461031144911681</v>
      </c>
      <c r="U39" s="287">
        <v>9.7491406990740881</v>
      </c>
      <c r="V39" s="288">
        <v>7.893664273203016</v>
      </c>
    </row>
    <row r="40" spans="1:22">
      <c r="A40" s="269"/>
      <c r="B40" s="242" t="s">
        <v>407</v>
      </c>
      <c r="C40" s="247">
        <v>56.191327999999999</v>
      </c>
      <c r="D40" s="248">
        <v>43.716074999999996</v>
      </c>
      <c r="E40" s="248">
        <v>52.875141000000006</v>
      </c>
      <c r="F40" s="248">
        <v>60.053091000000002</v>
      </c>
      <c r="G40" s="248">
        <v>62.848645000000005</v>
      </c>
      <c r="H40" s="248">
        <v>65.485629000000003</v>
      </c>
      <c r="I40" s="248">
        <v>66.148533</v>
      </c>
      <c r="J40" s="248">
        <v>70.981709000000009</v>
      </c>
      <c r="K40" s="248">
        <v>73.599776000000006</v>
      </c>
      <c r="L40" s="248">
        <v>78.730103999999997</v>
      </c>
      <c r="M40" s="248">
        <v>84.453611999999993</v>
      </c>
      <c r="N40" s="248">
        <v>86.483247000000006</v>
      </c>
      <c r="O40" s="248">
        <v>77.963426999999996</v>
      </c>
      <c r="P40" s="248">
        <v>92.663393999999997</v>
      </c>
      <c r="Q40" s="248">
        <v>114.94629</v>
      </c>
      <c r="R40" s="248">
        <v>116.57019320446335</v>
      </c>
      <c r="S40" s="248">
        <v>127.29505555534854</v>
      </c>
      <c r="T40" s="248">
        <v>139.88115565710777</v>
      </c>
      <c r="U40" s="248">
        <v>151.36870692067029</v>
      </c>
      <c r="V40" s="284">
        <v>162.28369510072179</v>
      </c>
    </row>
    <row r="41" spans="1:22">
      <c r="A41" s="269"/>
      <c r="B41" s="285" t="s">
        <v>401</v>
      </c>
      <c r="C41" s="286">
        <v>7.2493298459070266</v>
      </c>
      <c r="D41" s="287">
        <v>-22.201384882734942</v>
      </c>
      <c r="E41" s="287">
        <v>20.951254201114832</v>
      </c>
      <c r="F41" s="287">
        <v>13.575282948181645</v>
      </c>
      <c r="G41" s="287">
        <v>4.6551375681894713</v>
      </c>
      <c r="H41" s="287">
        <v>4.1957690575508799</v>
      </c>
      <c r="I41" s="287">
        <v>1.0122892764762081</v>
      </c>
      <c r="J41" s="287">
        <v>7.3065505473870473</v>
      </c>
      <c r="K41" s="287">
        <v>3.6883685063147986</v>
      </c>
      <c r="L41" s="287">
        <v>6.9705755626212396</v>
      </c>
      <c r="M41" s="287">
        <v>7.269783360123605</v>
      </c>
      <c r="N41" s="287">
        <v>2.4032542267108825</v>
      </c>
      <c r="O41" s="287">
        <v>-9.8514108749871649</v>
      </c>
      <c r="P41" s="287">
        <v>18.85495233553549</v>
      </c>
      <c r="Q41" s="287">
        <v>24.04713990942313</v>
      </c>
      <c r="R41" s="287">
        <v>1.4127495584793204</v>
      </c>
      <c r="S41" s="287">
        <v>9.2003470664870903</v>
      </c>
      <c r="T41" s="287">
        <v>9.8873440502853747</v>
      </c>
      <c r="U41" s="287">
        <v>8.2123651392486998</v>
      </c>
      <c r="V41" s="288">
        <v>7.2108617442123268</v>
      </c>
    </row>
    <row r="42" spans="1:22">
      <c r="A42" s="290"/>
      <c r="B42" s="291"/>
      <c r="C42" s="292"/>
      <c r="D42" s="293"/>
      <c r="E42" s="293"/>
      <c r="F42" s="293"/>
      <c r="G42" s="293"/>
      <c r="H42" s="293"/>
      <c r="I42" s="293"/>
      <c r="J42" s="293"/>
      <c r="K42" s="293"/>
      <c r="L42" s="293"/>
      <c r="M42" s="293"/>
      <c r="N42" s="293"/>
      <c r="O42" s="293"/>
      <c r="P42" s="293"/>
      <c r="Q42" s="293"/>
      <c r="R42" s="293"/>
      <c r="S42" s="294"/>
      <c r="T42" s="294"/>
      <c r="U42" s="636"/>
      <c r="V42" s="295"/>
    </row>
    <row r="43" spans="1:22">
      <c r="A43" s="265"/>
      <c r="B43" s="296"/>
      <c r="C43" s="297"/>
      <c r="D43" s="298"/>
      <c r="E43" s="298"/>
      <c r="F43" s="298"/>
      <c r="G43" s="298"/>
      <c r="H43" s="298"/>
      <c r="I43" s="298"/>
      <c r="J43" s="298"/>
      <c r="K43" s="298"/>
      <c r="L43" s="298"/>
      <c r="M43" s="298"/>
      <c r="N43" s="298"/>
      <c r="O43" s="298"/>
      <c r="P43" s="298"/>
      <c r="Q43" s="298"/>
      <c r="R43" s="298"/>
      <c r="S43" s="302"/>
      <c r="T43" s="302"/>
      <c r="U43" s="299"/>
      <c r="V43" s="300"/>
    </row>
    <row r="44" spans="1:22">
      <c r="A44" s="269"/>
      <c r="B44" s="303" t="s">
        <v>409</v>
      </c>
      <c r="C44" s="304"/>
      <c r="D44" s="305"/>
      <c r="E44" s="305"/>
      <c r="F44" s="305"/>
      <c r="G44" s="305"/>
      <c r="H44" s="305"/>
      <c r="I44" s="305"/>
      <c r="J44" s="305"/>
      <c r="K44" s="305"/>
      <c r="L44" s="305"/>
      <c r="M44" s="305"/>
      <c r="N44" s="305"/>
      <c r="O44" s="305"/>
      <c r="P44" s="305"/>
      <c r="Q44" s="305"/>
      <c r="R44" s="305"/>
      <c r="S44" s="306"/>
      <c r="T44" s="306"/>
      <c r="U44" s="287"/>
      <c r="V44" s="288"/>
    </row>
    <row r="45" spans="1:22">
      <c r="A45" s="269"/>
      <c r="B45" s="307"/>
      <c r="C45" s="304"/>
      <c r="D45" s="305"/>
      <c r="E45" s="305"/>
      <c r="F45" s="305"/>
      <c r="G45" s="305"/>
      <c r="H45" s="305"/>
      <c r="I45" s="305"/>
      <c r="J45" s="305"/>
      <c r="K45" s="305"/>
      <c r="L45" s="305"/>
      <c r="M45" s="305"/>
      <c r="N45" s="305"/>
      <c r="O45" s="305"/>
      <c r="P45" s="305"/>
      <c r="Q45" s="305"/>
      <c r="R45" s="305"/>
      <c r="S45" s="306"/>
      <c r="T45" s="306"/>
      <c r="U45" s="287"/>
      <c r="V45" s="288"/>
    </row>
    <row r="46" spans="1:22">
      <c r="A46" s="269"/>
      <c r="B46" s="303" t="s">
        <v>410</v>
      </c>
      <c r="C46" s="243">
        <v>6.8673261391923353</v>
      </c>
      <c r="D46" s="244">
        <v>-7.6310979983230958</v>
      </c>
      <c r="E46" s="244">
        <v>6.25291961810799</v>
      </c>
      <c r="F46" s="244">
        <v>0.42525123492057693</v>
      </c>
      <c r="G46" s="244">
        <v>-4.5942011617027463</v>
      </c>
      <c r="H46" s="244">
        <v>1.5691434558883433E-2</v>
      </c>
      <c r="I46" s="244">
        <v>3.2376934363807974</v>
      </c>
      <c r="J46" s="244">
        <v>6.4932984673302938</v>
      </c>
      <c r="K46" s="244">
        <v>1.6117380455354435</v>
      </c>
      <c r="L46" s="244">
        <v>3.1821321814195502</v>
      </c>
      <c r="M46" s="244">
        <v>3.5866169876851388</v>
      </c>
      <c r="N46" s="244">
        <v>3.7472015340322296</v>
      </c>
      <c r="O46" s="244">
        <v>-5.0300111096744535</v>
      </c>
      <c r="P46" s="244">
        <v>5.6769006534280884</v>
      </c>
      <c r="Q46" s="244">
        <v>3.362134249836561</v>
      </c>
      <c r="R46" s="244">
        <v>-2.6818398908022245</v>
      </c>
      <c r="S46" s="248">
        <v>2.279043682791654</v>
      </c>
      <c r="T46" s="248">
        <v>2.1460141609372001</v>
      </c>
      <c r="U46" s="248">
        <v>1.0715692894907031E-2</v>
      </c>
      <c r="V46" s="284">
        <v>1.5498836516259578</v>
      </c>
    </row>
    <row r="47" spans="1:22">
      <c r="A47" s="269"/>
      <c r="B47" s="242" t="s">
        <v>411</v>
      </c>
      <c r="C47" s="243">
        <v>4.1432928229211177</v>
      </c>
      <c r="D47" s="244">
        <v>-0.10385175460290845</v>
      </c>
      <c r="E47" s="244">
        <v>0.52554556483525261</v>
      </c>
      <c r="F47" s="244">
        <v>-1.1453354805836609</v>
      </c>
      <c r="G47" s="244">
        <v>0.22684455766567871</v>
      </c>
      <c r="H47" s="244">
        <v>-0.66726034945263912</v>
      </c>
      <c r="I47" s="244">
        <v>1.043752015818793</v>
      </c>
      <c r="J47" s="244">
        <v>1.5232458169636154</v>
      </c>
      <c r="K47" s="244">
        <v>2.0998652023871243</v>
      </c>
      <c r="L47" s="244">
        <v>2.5345436594607063</v>
      </c>
      <c r="M47" s="244">
        <v>2.2732059901207067</v>
      </c>
      <c r="N47" s="244">
        <v>1.5063755425606582</v>
      </c>
      <c r="O47" s="244">
        <v>-0.62607093913786427</v>
      </c>
      <c r="P47" s="244">
        <v>1.4886879575337537</v>
      </c>
      <c r="Q47" s="244">
        <v>3.0777667873907584</v>
      </c>
      <c r="R47" s="244">
        <v>-0.31845412100095571</v>
      </c>
      <c r="S47" s="248">
        <v>0.52035729767557048</v>
      </c>
      <c r="T47" s="248">
        <v>1.176533558313434</v>
      </c>
      <c r="U47" s="248">
        <v>0.980102973687492</v>
      </c>
      <c r="V47" s="284">
        <v>1.4178231449290899</v>
      </c>
    </row>
    <row r="48" spans="1:22">
      <c r="A48" s="269"/>
      <c r="B48" s="242" t="s">
        <v>412</v>
      </c>
      <c r="C48" s="243">
        <v>1.1482493506267075</v>
      </c>
      <c r="D48" s="244">
        <v>1.1033191844227535</v>
      </c>
      <c r="E48" s="244">
        <v>0.43773152340075333</v>
      </c>
      <c r="F48" s="244">
        <v>-0.46486662067566126</v>
      </c>
      <c r="G48" s="244">
        <v>-0.37743794301873584</v>
      </c>
      <c r="H48" s="244">
        <v>0.26965041211922558</v>
      </c>
      <c r="I48" s="244">
        <v>0.69284992646271348</v>
      </c>
      <c r="J48" s="244">
        <v>0.98247241377857564</v>
      </c>
      <c r="K48" s="244">
        <v>0.35775007897556366</v>
      </c>
      <c r="L48" s="244">
        <v>0.19586292039145944</v>
      </c>
      <c r="M48" s="244">
        <v>8.9771390683277594E-2</v>
      </c>
      <c r="N48" s="244">
        <v>0.79582632603396009</v>
      </c>
      <c r="O48" s="244">
        <v>-0.11142796710265994</v>
      </c>
      <c r="P48" s="244">
        <v>0.76735431711131852</v>
      </c>
      <c r="Q48" s="244">
        <v>-0.78435122331281093</v>
      </c>
      <c r="R48" s="244">
        <v>-0.23739553092333249</v>
      </c>
      <c r="S48" s="248">
        <v>-0.63774049142745071</v>
      </c>
      <c r="T48" s="248">
        <v>0.12796995184357157</v>
      </c>
      <c r="U48" s="248">
        <v>0.24232192740270098</v>
      </c>
      <c r="V48" s="284">
        <v>0.27060813347896223</v>
      </c>
    </row>
    <row r="49" spans="1:22">
      <c r="A49" s="269"/>
      <c r="B49" s="242" t="s">
        <v>413</v>
      </c>
      <c r="C49" s="243">
        <v>0.89615055014203393</v>
      </c>
      <c r="D49" s="244">
        <v>-4.7064380570823907</v>
      </c>
      <c r="E49" s="244">
        <v>1.7325142977901904</v>
      </c>
      <c r="F49" s="244">
        <v>2.9031198862463476</v>
      </c>
      <c r="G49" s="244">
        <v>-2.2817409488668319</v>
      </c>
      <c r="H49" s="244">
        <v>0.24555711503805835</v>
      </c>
      <c r="I49" s="244">
        <v>0.61131945806595733</v>
      </c>
      <c r="J49" s="244">
        <v>4.3883338183319962</v>
      </c>
      <c r="K49" s="244">
        <v>-2.1810610202564815</v>
      </c>
      <c r="L49" s="244">
        <v>0.61263171376786418</v>
      </c>
      <c r="M49" s="244">
        <v>0.58791382826571081</v>
      </c>
      <c r="N49" s="244">
        <v>1.4000152299334114</v>
      </c>
      <c r="O49" s="244">
        <v>-2.3595718212940557</v>
      </c>
      <c r="P49" s="244">
        <v>0.69384975864843634</v>
      </c>
      <c r="Q49" s="244">
        <v>1.1620408902248696</v>
      </c>
      <c r="R49" s="244">
        <v>2.4489474445060222</v>
      </c>
      <c r="S49" s="248">
        <v>0.69782377696698972</v>
      </c>
      <c r="T49" s="248">
        <v>0.8348484607659834</v>
      </c>
      <c r="U49" s="248">
        <v>-1.2121129714786099</v>
      </c>
      <c r="V49" s="284">
        <v>-0.13857234709421984</v>
      </c>
    </row>
    <row r="50" spans="1:22">
      <c r="A50" s="269"/>
      <c r="B50" s="242" t="s">
        <v>414</v>
      </c>
      <c r="C50" s="243">
        <v>0.67963341550248679</v>
      </c>
      <c r="D50" s="244">
        <v>-3.924127371060584</v>
      </c>
      <c r="E50" s="244">
        <v>3.5571282320818076</v>
      </c>
      <c r="F50" s="244">
        <v>-0.86766655006644022</v>
      </c>
      <c r="G50" s="244">
        <v>-2.1618668274828554</v>
      </c>
      <c r="H50" s="244">
        <v>0.16774425685424288</v>
      </c>
      <c r="I50" s="244">
        <v>0.88977203603332278</v>
      </c>
      <c r="J50" s="244">
        <v>-0.40075358174391212</v>
      </c>
      <c r="K50" s="244">
        <v>1.3351837844292527</v>
      </c>
      <c r="L50" s="244">
        <v>-0.1609061122004839</v>
      </c>
      <c r="M50" s="244">
        <v>0.63572577861544766</v>
      </c>
      <c r="N50" s="244">
        <v>4.4984435504208178E-2</v>
      </c>
      <c r="O50" s="244">
        <v>-1.9329403821398785</v>
      </c>
      <c r="P50" s="244">
        <v>2.7270086201345771</v>
      </c>
      <c r="Q50" s="244">
        <v>-9.3322204466262895E-2</v>
      </c>
      <c r="R50" s="244">
        <v>-4.5749376833839488</v>
      </c>
      <c r="S50" s="248">
        <v>1.6986030995765475</v>
      </c>
      <c r="T50" s="248">
        <v>6.6621900142232035E-3</v>
      </c>
      <c r="U50" s="248">
        <v>4.0376328329919543E-4</v>
      </c>
      <c r="V50" s="284">
        <v>2.4720312125382347E-5</v>
      </c>
    </row>
    <row r="51" spans="1:22">
      <c r="A51" s="269"/>
      <c r="B51" s="308"/>
      <c r="C51" s="243"/>
      <c r="D51" s="244"/>
      <c r="E51" s="244"/>
      <c r="F51" s="244"/>
      <c r="G51" s="244"/>
      <c r="H51" s="244"/>
      <c r="I51" s="244"/>
      <c r="J51" s="244"/>
      <c r="K51" s="244"/>
      <c r="L51" s="244"/>
      <c r="M51" s="244"/>
      <c r="N51" s="244"/>
      <c r="O51" s="244"/>
      <c r="P51" s="244"/>
      <c r="Q51" s="244"/>
      <c r="R51" s="244"/>
      <c r="S51" s="248"/>
      <c r="T51" s="248"/>
      <c r="U51" s="248"/>
      <c r="V51" s="284"/>
    </row>
    <row r="52" spans="1:22">
      <c r="A52" s="269"/>
      <c r="B52" s="303" t="s">
        <v>415</v>
      </c>
      <c r="C52" s="243">
        <v>-1.0543809691220449</v>
      </c>
      <c r="D52" s="244">
        <v>3.0073942517613905</v>
      </c>
      <c r="E52" s="244">
        <v>1.0604062003251034E-2</v>
      </c>
      <c r="F52" s="244">
        <v>1.8544925117396325</v>
      </c>
      <c r="G52" s="244">
        <v>5.5387910419371797</v>
      </c>
      <c r="H52" s="244">
        <v>0.54496265410089417</v>
      </c>
      <c r="I52" s="244">
        <v>-0.51394415522809767</v>
      </c>
      <c r="J52" s="244">
        <v>-1.3112630524218662</v>
      </c>
      <c r="K52" s="244">
        <v>0.33221281548790627</v>
      </c>
      <c r="L52" s="244">
        <v>-0.2393991679535262</v>
      </c>
      <c r="M52" s="244">
        <v>0.47511772839455479</v>
      </c>
      <c r="N52" s="244">
        <v>-1.2653237200542451</v>
      </c>
      <c r="O52" s="244">
        <v>1.5329851875245148</v>
      </c>
      <c r="P52" s="244">
        <v>-0.64032183577100699</v>
      </c>
      <c r="Q52" s="244">
        <v>-1.5451623050731957</v>
      </c>
      <c r="R52" s="244">
        <v>3.6441228997941977</v>
      </c>
      <c r="S52" s="248">
        <v>-0.91785612963036556</v>
      </c>
      <c r="T52" s="248">
        <v>1.009664414591952</v>
      </c>
      <c r="U52" s="248">
        <v>2.1193287754413945</v>
      </c>
      <c r="V52" s="284">
        <v>0.53445422029030121</v>
      </c>
    </row>
    <row r="53" spans="1:22">
      <c r="A53" s="269"/>
      <c r="B53" s="303"/>
      <c r="C53" s="292"/>
      <c r="D53" s="293"/>
      <c r="E53" s="293"/>
      <c r="F53" s="293"/>
      <c r="G53" s="293"/>
      <c r="H53" s="293"/>
      <c r="I53" s="293"/>
      <c r="J53" s="293"/>
      <c r="K53" s="293"/>
      <c r="L53" s="293"/>
      <c r="M53" s="293"/>
      <c r="N53" s="293"/>
      <c r="O53" s="293"/>
      <c r="P53" s="293"/>
      <c r="Q53" s="293"/>
      <c r="R53" s="293"/>
      <c r="S53" s="294"/>
      <c r="T53" s="294"/>
      <c r="U53" s="636"/>
      <c r="V53" s="295"/>
    </row>
    <row r="54" spans="1:22">
      <c r="A54" s="265"/>
      <c r="B54" s="309"/>
      <c r="C54" s="265"/>
      <c r="D54" s="266"/>
      <c r="E54" s="310"/>
      <c r="F54" s="310"/>
      <c r="G54" s="310"/>
      <c r="H54" s="310"/>
      <c r="I54" s="310"/>
      <c r="J54" s="310"/>
      <c r="K54" s="310"/>
      <c r="L54" s="310"/>
      <c r="M54" s="310"/>
      <c r="N54" s="310"/>
      <c r="O54" s="310"/>
      <c r="P54" s="310"/>
      <c r="Q54" s="310"/>
      <c r="R54" s="310"/>
      <c r="S54" s="310"/>
      <c r="T54" s="310"/>
      <c r="U54" s="637"/>
      <c r="V54" s="311"/>
    </row>
    <row r="55" spans="1:22">
      <c r="A55" s="269"/>
      <c r="B55" s="281" t="s">
        <v>416</v>
      </c>
      <c r="C55" s="269"/>
      <c r="E55" s="270"/>
      <c r="F55" s="270"/>
      <c r="G55" s="270"/>
      <c r="H55" s="270"/>
      <c r="I55" s="270"/>
      <c r="J55" s="270"/>
      <c r="K55" s="270"/>
      <c r="L55" s="270"/>
      <c r="M55" s="270"/>
      <c r="N55" s="270"/>
      <c r="O55" s="270"/>
      <c r="P55" s="270"/>
      <c r="Q55" s="270"/>
      <c r="R55" s="270"/>
      <c r="S55" s="270"/>
      <c r="T55" s="270"/>
      <c r="U55" s="248"/>
      <c r="V55" s="284"/>
    </row>
    <row r="56" spans="1:22">
      <c r="A56" s="269"/>
      <c r="B56" s="312"/>
      <c r="C56" s="269"/>
      <c r="E56" s="270"/>
      <c r="F56" s="270"/>
      <c r="G56" s="270"/>
      <c r="H56" s="270"/>
      <c r="I56" s="270"/>
      <c r="J56" s="270"/>
      <c r="K56" s="270"/>
      <c r="L56" s="270"/>
      <c r="M56" s="270"/>
      <c r="N56" s="270"/>
      <c r="O56" s="270"/>
      <c r="P56" s="270"/>
      <c r="Q56" s="270"/>
      <c r="R56" s="270"/>
      <c r="S56" s="270"/>
      <c r="T56" s="270"/>
      <c r="U56" s="248"/>
      <c r="V56" s="284"/>
    </row>
    <row r="57" spans="1:22">
      <c r="A57" s="269"/>
      <c r="B57" s="281" t="s">
        <v>417</v>
      </c>
      <c r="C57" s="247">
        <v>1.9817735850911768</v>
      </c>
      <c r="D57" s="248">
        <v>-21.12771750257567</v>
      </c>
      <c r="E57" s="248">
        <v>8.7024435031249645</v>
      </c>
      <c r="F57" s="248">
        <v>13.083132576421775</v>
      </c>
      <c r="G57" s="248">
        <v>-8.2488835933430398</v>
      </c>
      <c r="H57" s="248">
        <v>0.43290185877524107</v>
      </c>
      <c r="I57" s="248">
        <v>-1.2216986683860906</v>
      </c>
      <c r="J57" s="248">
        <v>8.8872773618351921</v>
      </c>
      <c r="K57" s="248">
        <v>2.9602142785298442</v>
      </c>
      <c r="L57" s="248">
        <v>2.6704136215998302</v>
      </c>
      <c r="M57" s="248">
        <v>0.28955555382929193</v>
      </c>
      <c r="N57" s="248">
        <v>6.8310583116619208</v>
      </c>
      <c r="O57" s="248">
        <v>-9.898770027821314</v>
      </c>
      <c r="P57" s="248">
        <v>4.5817051562784963</v>
      </c>
      <c r="Q57" s="248">
        <v>4.7107822347960555</v>
      </c>
      <c r="R57" s="248">
        <v>4.2825960691971181</v>
      </c>
      <c r="S57" s="248">
        <v>0.61467284152784551</v>
      </c>
      <c r="T57" s="248">
        <v>4.1034046851641115</v>
      </c>
      <c r="U57" s="248">
        <v>-1.0806446185704974</v>
      </c>
      <c r="V57" s="284">
        <v>0.36419459333281473</v>
      </c>
    </row>
    <row r="58" spans="1:22">
      <c r="A58" s="269"/>
      <c r="B58" s="313" t="s">
        <v>418</v>
      </c>
      <c r="C58" s="247">
        <v>2.0443783348993243</v>
      </c>
      <c r="D58" s="248">
        <v>-21.196241486900508</v>
      </c>
      <c r="E58" s="248">
        <v>8.6966588131274509</v>
      </c>
      <c r="F58" s="248">
        <v>11.748085611866291</v>
      </c>
      <c r="G58" s="248">
        <v>-8.5307707985550589</v>
      </c>
      <c r="H58" s="248">
        <v>1.6575863391854149</v>
      </c>
      <c r="I58" s="248">
        <v>-0.60416542399494666</v>
      </c>
      <c r="J58" s="248">
        <v>4.1697659853478539</v>
      </c>
      <c r="K58" s="248">
        <v>6.2055786586442014</v>
      </c>
      <c r="L58" s="248">
        <v>-0.70944345961937116</v>
      </c>
      <c r="M58" s="248">
        <v>2.651591541390304</v>
      </c>
      <c r="N58" s="248">
        <v>7.3337717596675249</v>
      </c>
      <c r="O58" s="248">
        <v>-9.0592492391268742</v>
      </c>
      <c r="P58" s="248">
        <v>4.6233632076613791</v>
      </c>
      <c r="Q58" s="248">
        <v>5.1184923245951346</v>
      </c>
      <c r="R58" s="248">
        <v>2.5797591810616751</v>
      </c>
      <c r="S58" s="248">
        <v>0.75163353167964353</v>
      </c>
      <c r="T58" s="248">
        <v>2.5575263700309767</v>
      </c>
      <c r="U58" s="248">
        <v>0.91511705207642724</v>
      </c>
      <c r="V58" s="284">
        <v>2.2450527679406398</v>
      </c>
    </row>
    <row r="59" spans="1:22">
      <c r="A59" s="269"/>
      <c r="B59" s="246" t="s">
        <v>419</v>
      </c>
      <c r="C59" s="247">
        <v>-6.2604749808149354E-2</v>
      </c>
      <c r="D59" s="248">
        <v>6.8523984324836945E-2</v>
      </c>
      <c r="E59" s="248">
        <v>5.784689997514799E-3</v>
      </c>
      <c r="F59" s="248">
        <v>-0.21488779758268806</v>
      </c>
      <c r="G59" s="248">
        <v>-0.48420503167755874</v>
      </c>
      <c r="H59" s="248">
        <v>-1.1951806258784807</v>
      </c>
      <c r="I59" s="248">
        <v>-2.1034212960607954E-2</v>
      </c>
      <c r="J59" s="248">
        <v>3.6672468515009111</v>
      </c>
      <c r="K59" s="248">
        <v>-3.8947226035949791</v>
      </c>
      <c r="L59" s="248">
        <v>0.21641911275372341</v>
      </c>
      <c r="M59" s="248">
        <v>0.86119458419828054</v>
      </c>
      <c r="N59" s="248">
        <v>0.29917954238129718</v>
      </c>
      <c r="O59" s="248">
        <v>-0.24874412620850458</v>
      </c>
      <c r="P59" s="248">
        <v>-0.51294900494750795</v>
      </c>
      <c r="Q59" s="248">
        <v>2.8333363047915412E-2</v>
      </c>
      <c r="R59" s="248">
        <v>1.4378839097193745</v>
      </c>
      <c r="S59" s="248">
        <v>-1.5947753491461523</v>
      </c>
      <c r="T59" s="248">
        <v>0.12267470750392181</v>
      </c>
      <c r="U59" s="248">
        <v>0.12171820173978848</v>
      </c>
      <c r="V59" s="284">
        <v>-0.13770892467656715</v>
      </c>
    </row>
    <row r="60" spans="1:22">
      <c r="A60" s="269"/>
      <c r="B60" s="246" t="s">
        <v>420</v>
      </c>
      <c r="C60" s="247">
        <v>0</v>
      </c>
      <c r="D60" s="248">
        <v>0</v>
      </c>
      <c r="E60" s="248">
        <v>0</v>
      </c>
      <c r="F60" s="248">
        <v>0</v>
      </c>
      <c r="G60" s="248">
        <v>0</v>
      </c>
      <c r="H60" s="248">
        <v>0</v>
      </c>
      <c r="I60" s="248">
        <v>0</v>
      </c>
      <c r="J60" s="248">
        <v>0</v>
      </c>
      <c r="K60" s="248">
        <v>0</v>
      </c>
      <c r="L60" s="248">
        <v>0</v>
      </c>
      <c r="M60" s="248">
        <v>0</v>
      </c>
      <c r="N60" s="248">
        <v>0</v>
      </c>
      <c r="O60" s="248">
        <v>0</v>
      </c>
      <c r="P60" s="248">
        <v>3.5144410051640798E-3</v>
      </c>
      <c r="Q60" s="248">
        <v>1.3386315474320717E-2</v>
      </c>
      <c r="R60" s="248">
        <v>1.2140324992860767</v>
      </c>
      <c r="S60" s="248">
        <v>1.5869199791703616</v>
      </c>
      <c r="T60" s="248">
        <v>-0.16348131297761831</v>
      </c>
      <c r="U60" s="248">
        <v>-1.6418022808279975</v>
      </c>
      <c r="V60" s="284">
        <v>-0.75474373046176935</v>
      </c>
    </row>
    <row r="61" spans="1:22">
      <c r="A61" s="269"/>
      <c r="B61" s="313" t="s">
        <v>421</v>
      </c>
      <c r="C61" s="247">
        <v>0</v>
      </c>
      <c r="D61" s="248">
        <v>0</v>
      </c>
      <c r="E61" s="248">
        <v>0</v>
      </c>
      <c r="F61" s="248">
        <v>1.5499347621381756</v>
      </c>
      <c r="G61" s="248">
        <v>0.76609223688957784</v>
      </c>
      <c r="H61" s="248">
        <v>-2.9503854531693151E-2</v>
      </c>
      <c r="I61" s="248">
        <v>-0.59649903143053862</v>
      </c>
      <c r="J61" s="248">
        <v>1.0502645249864251</v>
      </c>
      <c r="K61" s="248">
        <v>0.64935822348061945</v>
      </c>
      <c r="L61" s="248">
        <v>-1.0462199695508667</v>
      </c>
      <c r="M61" s="248">
        <v>-1.0747018134828394</v>
      </c>
      <c r="N61" s="248">
        <v>-0.61630678819306151</v>
      </c>
      <c r="O61" s="248">
        <v>-6.0977443463179876E-2</v>
      </c>
      <c r="P61" s="248">
        <v>0.24084489068841849</v>
      </c>
      <c r="Q61" s="248">
        <v>0.42898373973129678</v>
      </c>
      <c r="R61" s="248">
        <v>-0.47890063885149103</v>
      </c>
      <c r="S61" s="248">
        <v>-0.37229893731515307</v>
      </c>
      <c r="T61" s="248">
        <v>0</v>
      </c>
      <c r="U61" s="248">
        <v>0</v>
      </c>
      <c r="V61" s="284">
        <v>0</v>
      </c>
    </row>
    <row r="62" spans="1:22">
      <c r="A62" s="269"/>
      <c r="B62" s="313" t="s">
        <v>422</v>
      </c>
      <c r="C62" s="247">
        <v>0</v>
      </c>
      <c r="D62" s="248">
        <v>0</v>
      </c>
      <c r="E62" s="248">
        <v>0</v>
      </c>
      <c r="F62" s="248">
        <v>0</v>
      </c>
      <c r="G62" s="248">
        <v>0</v>
      </c>
      <c r="H62" s="248">
        <v>0</v>
      </c>
      <c r="I62" s="248">
        <v>0</v>
      </c>
      <c r="J62" s="248">
        <v>0</v>
      </c>
      <c r="K62" s="248">
        <v>0</v>
      </c>
      <c r="L62" s="248">
        <v>0</v>
      </c>
      <c r="M62" s="248">
        <v>0</v>
      </c>
      <c r="N62" s="248">
        <v>0</v>
      </c>
      <c r="O62" s="248">
        <v>0</v>
      </c>
      <c r="P62" s="248">
        <v>0</v>
      </c>
      <c r="Q62" s="248">
        <v>0</v>
      </c>
      <c r="R62" s="248">
        <v>0</v>
      </c>
      <c r="S62" s="248">
        <v>0.24319361713914683</v>
      </c>
      <c r="T62" s="248">
        <v>1.5866849206068474</v>
      </c>
      <c r="U62" s="248">
        <v>-0.47567759155874667</v>
      </c>
      <c r="V62" s="284">
        <v>-0.98840551946946242</v>
      </c>
    </row>
    <row r="63" spans="1:22">
      <c r="A63" s="269"/>
      <c r="B63" s="313"/>
      <c r="C63" s="247"/>
      <c r="D63" s="248"/>
      <c r="E63" s="248"/>
      <c r="F63" s="248"/>
      <c r="G63" s="248"/>
      <c r="H63" s="248"/>
      <c r="I63" s="248"/>
      <c r="J63" s="248"/>
      <c r="K63" s="248"/>
      <c r="L63" s="248"/>
      <c r="M63" s="248"/>
      <c r="N63" s="248"/>
      <c r="O63" s="248"/>
      <c r="P63" s="248"/>
      <c r="Q63" s="248"/>
      <c r="R63" s="248"/>
      <c r="S63" s="248"/>
      <c r="T63" s="248"/>
      <c r="U63" s="248"/>
      <c r="V63" s="284"/>
    </row>
    <row r="64" spans="1:22">
      <c r="A64" s="269"/>
      <c r="B64" s="281" t="s">
        <v>423</v>
      </c>
      <c r="C64" s="247">
        <v>1.7088780273338913</v>
      </c>
      <c r="D64" s="248">
        <v>1.3927942761234564</v>
      </c>
      <c r="E64" s="248">
        <v>-0.14528819236646298</v>
      </c>
      <c r="F64" s="248">
        <v>1.0127157115032164</v>
      </c>
      <c r="G64" s="248">
        <v>-1.7205950699427632</v>
      </c>
      <c r="H64" s="248">
        <v>0.77451967272899425</v>
      </c>
      <c r="I64" s="248">
        <v>4.2105309862942839</v>
      </c>
      <c r="J64" s="248">
        <v>12.507186784236277</v>
      </c>
      <c r="K64" s="248">
        <v>-12.172150570613107</v>
      </c>
      <c r="L64" s="248">
        <v>0.2350489930019255</v>
      </c>
      <c r="M64" s="248">
        <v>2.4995636657713871</v>
      </c>
      <c r="N64" s="248">
        <v>-0.10904692281908837</v>
      </c>
      <c r="O64" s="248">
        <v>-0.98328063914343666</v>
      </c>
      <c r="P64" s="248">
        <v>-1.1108102596945064</v>
      </c>
      <c r="Q64" s="248">
        <v>1.1804018971346013</v>
      </c>
      <c r="R64" s="248">
        <v>7.6377298510942504</v>
      </c>
      <c r="S64" s="248">
        <v>2.4577926442703104</v>
      </c>
      <c r="T64" s="248">
        <v>-0.49250739119182124</v>
      </c>
      <c r="U64" s="248">
        <v>-4.1386310281195469</v>
      </c>
      <c r="V64" s="284">
        <v>-1.0071420588153681</v>
      </c>
    </row>
    <row r="65" spans="1:22">
      <c r="A65" s="269"/>
      <c r="B65" s="246" t="s">
        <v>418</v>
      </c>
      <c r="C65" s="247">
        <v>1.8104935706894114</v>
      </c>
      <c r="D65" s="248">
        <v>1.2815710554989561</v>
      </c>
      <c r="E65" s="248">
        <v>-0.1546774866139761</v>
      </c>
      <c r="F65" s="248">
        <v>1.5849677689956931</v>
      </c>
      <c r="G65" s="248">
        <v>-1.4829879892302387</v>
      </c>
      <c r="H65" s="248">
        <v>1.5925324221863227E-2</v>
      </c>
      <c r="I65" s="248">
        <v>4.3500980261957158</v>
      </c>
      <c r="J65" s="248">
        <v>5.0279915821095269</v>
      </c>
      <c r="K65" s="248">
        <v>-3.1373324427783675</v>
      </c>
      <c r="L65" s="248">
        <v>-0.5744712144062345</v>
      </c>
      <c r="M65" s="248">
        <v>0.89430442974306779</v>
      </c>
      <c r="N65" s="248">
        <v>0.58038268568148765</v>
      </c>
      <c r="O65" s="248">
        <v>-0.97508524198997837</v>
      </c>
      <c r="P65" s="248">
        <v>-1.0068218954307382</v>
      </c>
      <c r="Q65" s="248">
        <v>1.1330575710506265</v>
      </c>
      <c r="R65" s="248">
        <v>1.9428301705878579</v>
      </c>
      <c r="S65" s="248">
        <v>1.8825976070759736</v>
      </c>
      <c r="T65" s="248">
        <v>-5.9648376917930235E-2</v>
      </c>
      <c r="U65" s="248">
        <v>0.57395768945472703</v>
      </c>
      <c r="V65" s="284">
        <v>0.39524621329742204</v>
      </c>
    </row>
    <row r="66" spans="1:22">
      <c r="A66" s="269"/>
      <c r="B66" s="246" t="s">
        <v>419</v>
      </c>
      <c r="C66" s="247">
        <v>-0.1016155433555203</v>
      </c>
      <c r="D66" s="248">
        <v>0.11122322062450084</v>
      </c>
      <c r="E66" s="248">
        <v>9.3892942475139532E-3</v>
      </c>
      <c r="F66" s="248">
        <v>-0.57225205749247932</v>
      </c>
      <c r="G66" s="248">
        <v>-0.23760708071252173</v>
      </c>
      <c r="H66" s="248">
        <v>0.75859434850712792</v>
      </c>
      <c r="I66" s="248">
        <v>-0.13956703990143224</v>
      </c>
      <c r="J66" s="248">
        <v>7.479195202126748</v>
      </c>
      <c r="K66" s="248">
        <v>-9.0348181278347379</v>
      </c>
      <c r="L66" s="248">
        <v>0.809520207408157</v>
      </c>
      <c r="M66" s="248">
        <v>1.6052592360283204</v>
      </c>
      <c r="N66" s="248">
        <v>-0.689429608500576</v>
      </c>
      <c r="O66" s="248">
        <v>-8.1953971534570683E-3</v>
      </c>
      <c r="P66" s="248">
        <v>-0.10398836426376952</v>
      </c>
      <c r="Q66" s="248">
        <v>3.4411190130971464E-2</v>
      </c>
      <c r="R66" s="248">
        <v>3.0990031390269879</v>
      </c>
      <c r="S66" s="248">
        <v>-3.4996819683056768</v>
      </c>
      <c r="T66" s="248">
        <v>-2.5954880026325688E-2</v>
      </c>
      <c r="U66" s="248">
        <v>-0.40319243314104758</v>
      </c>
      <c r="V66" s="284">
        <v>-3.5461946674599246E-2</v>
      </c>
    </row>
    <row r="67" spans="1:22">
      <c r="A67" s="269"/>
      <c r="B67" s="246" t="s">
        <v>420</v>
      </c>
      <c r="C67" s="247">
        <v>0</v>
      </c>
      <c r="D67" s="248">
        <v>0</v>
      </c>
      <c r="E67" s="248">
        <v>0</v>
      </c>
      <c r="F67" s="248">
        <v>0</v>
      </c>
      <c r="G67" s="248">
        <v>0</v>
      </c>
      <c r="H67" s="248">
        <v>0</v>
      </c>
      <c r="I67" s="248">
        <v>0</v>
      </c>
      <c r="J67" s="248">
        <v>0</v>
      </c>
      <c r="K67" s="248">
        <v>0</v>
      </c>
      <c r="L67" s="248">
        <v>0</v>
      </c>
      <c r="M67" s="248">
        <v>0</v>
      </c>
      <c r="N67" s="248">
        <v>0</v>
      </c>
      <c r="O67" s="248">
        <v>0</v>
      </c>
      <c r="P67" s="248">
        <v>0</v>
      </c>
      <c r="Q67" s="248">
        <v>1.2933135953004578E-2</v>
      </c>
      <c r="R67" s="248">
        <v>2.595896541479402</v>
      </c>
      <c r="S67" s="248">
        <v>4.0748770055000136</v>
      </c>
      <c r="T67" s="248">
        <v>-0.40690413424756189</v>
      </c>
      <c r="U67" s="248">
        <v>-4.3093962844332285</v>
      </c>
      <c r="V67" s="284">
        <v>-1.3669263254381894</v>
      </c>
    </row>
    <row r="68" spans="1:22">
      <c r="A68" s="290"/>
      <c r="B68" s="314"/>
      <c r="C68" s="290"/>
      <c r="D68" s="315"/>
      <c r="E68" s="315"/>
      <c r="F68" s="315"/>
      <c r="G68" s="315"/>
      <c r="H68" s="315"/>
      <c r="I68" s="315"/>
      <c r="J68" s="315"/>
      <c r="K68" s="315"/>
      <c r="L68" s="315"/>
      <c r="M68" s="315"/>
      <c r="N68" s="315"/>
      <c r="O68" s="315"/>
      <c r="P68" s="315"/>
      <c r="Q68" s="315"/>
      <c r="R68" s="315"/>
      <c r="S68" s="316"/>
      <c r="T68" s="316"/>
      <c r="U68" s="316"/>
      <c r="V68" s="317"/>
    </row>
    <row r="69" spans="1:22">
      <c r="O69" s="289"/>
      <c r="P69" s="289"/>
      <c r="Q69" s="289"/>
      <c r="R69" s="289"/>
      <c r="S69" s="318"/>
      <c r="T69" s="318"/>
    </row>
  </sheetData>
  <mergeCells count="3">
    <mergeCell ref="A1:R1"/>
    <mergeCell ref="A2:R2"/>
    <mergeCell ref="A3:R3"/>
  </mergeCells>
  <pageMargins left="0.7" right="0.7" top="0.75" bottom="0.75" header="0.3" footer="0.3"/>
  <pageSetup paperSize="9" scale="5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5050"/>
  </sheetPr>
  <dimension ref="B1:DS270"/>
  <sheetViews>
    <sheetView tabSelected="1" zoomScaleNormal="100" workbookViewId="0"/>
  </sheetViews>
  <sheetFormatPr defaultColWidth="6.85546875" defaultRowHeight="11.25"/>
  <cols>
    <col min="1" max="1" width="2.7109375" style="2" customWidth="1"/>
    <col min="2" max="2" width="50.28515625" style="2" customWidth="1"/>
    <col min="3" max="9" width="13.7109375" style="2" customWidth="1"/>
    <col min="10" max="43" width="7.7109375" style="2" customWidth="1"/>
    <col min="44" max="16384" width="6.85546875" style="2"/>
  </cols>
  <sheetData>
    <row r="1" spans="2:8" ht="12" thickBot="1"/>
    <row r="2" spans="2:8">
      <c r="B2" s="58" t="s">
        <v>2</v>
      </c>
      <c r="C2" s="59"/>
      <c r="D2" s="59"/>
      <c r="E2" s="59"/>
      <c r="F2" s="59"/>
      <c r="G2" s="59"/>
      <c r="H2" s="60"/>
    </row>
    <row r="3" spans="2:8">
      <c r="B3" s="61" t="s">
        <v>361</v>
      </c>
      <c r="C3" s="62"/>
      <c r="D3" s="62"/>
      <c r="E3" s="62"/>
      <c r="F3" s="38"/>
      <c r="H3" s="63"/>
    </row>
    <row r="4" spans="2:8">
      <c r="B4" s="61" t="s">
        <v>363</v>
      </c>
      <c r="C4" s="62"/>
      <c r="D4" s="62"/>
      <c r="E4" s="62"/>
      <c r="F4" s="62"/>
      <c r="G4" s="62"/>
      <c r="H4" s="63"/>
    </row>
    <row r="5" spans="2:8">
      <c r="B5" s="61" t="s">
        <v>86</v>
      </c>
      <c r="C5" s="62"/>
      <c r="D5" s="62"/>
      <c r="E5" s="62"/>
      <c r="F5" s="62"/>
      <c r="G5" s="62"/>
      <c r="H5" s="63"/>
    </row>
    <row r="6" spans="2:8" ht="12" thickBot="1">
      <c r="B6" s="64" t="s">
        <v>360</v>
      </c>
      <c r="C6" s="65"/>
      <c r="D6" s="65"/>
      <c r="E6" s="65"/>
      <c r="F6" s="65"/>
      <c r="G6" s="65"/>
      <c r="H6" s="66"/>
    </row>
    <row r="8" spans="2:8" ht="17.25" customHeight="1">
      <c r="B8" s="861" t="s">
        <v>45</v>
      </c>
      <c r="C8" s="861"/>
    </row>
    <row r="9" spans="2:8">
      <c r="B9" s="25" t="s">
        <v>3</v>
      </c>
      <c r="C9" s="39">
        <v>0.04</v>
      </c>
    </row>
    <row r="10" spans="2:8">
      <c r="B10" s="3" t="s">
        <v>4</v>
      </c>
      <c r="C10" s="40">
        <v>0.05</v>
      </c>
    </row>
    <row r="11" spans="2:8">
      <c r="B11" s="3" t="s">
        <v>5</v>
      </c>
      <c r="C11" s="15">
        <f>C13</f>
        <v>2023</v>
      </c>
      <c r="D11" s="2" t="s">
        <v>8</v>
      </c>
    </row>
    <row r="12" spans="2:8">
      <c r="B12" s="3" t="s">
        <v>224</v>
      </c>
      <c r="C12" s="41">
        <v>30</v>
      </c>
    </row>
    <row r="13" spans="2:8">
      <c r="B13" s="3" t="s">
        <v>323</v>
      </c>
      <c r="C13" s="125">
        <v>2023</v>
      </c>
      <c r="D13" s="2" t="s">
        <v>225</v>
      </c>
    </row>
    <row r="14" spans="2:8">
      <c r="B14" s="3" t="s">
        <v>324</v>
      </c>
      <c r="C14" s="125">
        <v>2028</v>
      </c>
      <c r="D14" s="836" t="s">
        <v>358</v>
      </c>
      <c r="E14" s="837">
        <f>C14+1</f>
        <v>2029</v>
      </c>
      <c r="F14" s="838" t="s">
        <v>359</v>
      </c>
    </row>
    <row r="15" spans="2:8">
      <c r="B15" s="3" t="s">
        <v>226</v>
      </c>
      <c r="C15" s="125"/>
      <c r="F15" s="835" t="s">
        <v>362</v>
      </c>
    </row>
    <row r="16" spans="2:8">
      <c r="B16" s="3" t="s">
        <v>227</v>
      </c>
      <c r="C16" s="15">
        <f>C13+C12-1</f>
        <v>2052</v>
      </c>
    </row>
    <row r="17" spans="2:16">
      <c r="B17" s="3" t="s">
        <v>6</v>
      </c>
      <c r="C17" s="41" t="s">
        <v>0</v>
      </c>
    </row>
    <row r="20" spans="2:16" ht="17.25" customHeight="1">
      <c r="B20" s="149" t="s">
        <v>72</v>
      </c>
      <c r="C20" s="150">
        <v>2010</v>
      </c>
      <c r="D20" s="150">
        <v>2011</v>
      </c>
      <c r="E20" s="150">
        <v>2012</v>
      </c>
      <c r="F20" s="150">
        <v>2013</v>
      </c>
      <c r="G20" s="150">
        <v>2014</v>
      </c>
      <c r="H20" s="151">
        <v>2015</v>
      </c>
      <c r="I20" s="151">
        <v>2016</v>
      </c>
      <c r="J20" s="151">
        <v>2017</v>
      </c>
      <c r="K20" s="151">
        <v>2018</v>
      </c>
      <c r="L20" s="151">
        <v>2019</v>
      </c>
      <c r="M20" s="151">
        <v>2020</v>
      </c>
      <c r="N20" s="151">
        <v>2021</v>
      </c>
      <c r="O20" s="151">
        <v>2022</v>
      </c>
      <c r="P20" s="151">
        <v>2023</v>
      </c>
    </row>
    <row r="21" spans="2:16">
      <c r="B21" s="41" t="s">
        <v>73</v>
      </c>
      <c r="C21" s="69">
        <f>'Cenová inflácia'!E10/100</f>
        <v>9.6309892889521187E-3</v>
      </c>
      <c r="D21" s="69">
        <f>'Cenová inflácia'!F10/100</f>
        <v>3.908765900839728E-2</v>
      </c>
      <c r="E21" s="69">
        <f>'Cenová inflácia'!G10/100</f>
        <v>3.6150362463793551E-2</v>
      </c>
      <c r="F21" s="69">
        <f>'Cenová inflácia'!H10/100</f>
        <v>1.3889746916249779E-2</v>
      </c>
      <c r="G21" s="69">
        <f>'Cenová inflácia'!I10/100</f>
        <v>-6.9055864163058978E-4</v>
      </c>
      <c r="H21" s="69">
        <f>'Cenová inflácia'!J10/100</f>
        <v>-3.2875013973152623E-3</v>
      </c>
      <c r="I21" s="69">
        <f>'Cenová inflácia'!K10/100</f>
        <v>-5.1947654708678348E-3</v>
      </c>
      <c r="J21" s="69">
        <f>'Cenová inflácia'!L10/100</f>
        <v>1.3083863171367671E-2</v>
      </c>
      <c r="K21" s="69">
        <f>'Cenová inflácia'!M10/100</f>
        <v>2.4942252144670052E-2</v>
      </c>
      <c r="L21" s="69">
        <f>'Cenová inflácia'!N10/100</f>
        <v>2.6775097969561568E-2</v>
      </c>
      <c r="M21" s="69">
        <f>'Cenová inflácia'!O10/100</f>
        <v>1.9325023003922803E-2</v>
      </c>
      <c r="N21" s="69">
        <f>'Cenová inflácia'!P10/100</f>
        <v>3.1603780536386905E-2</v>
      </c>
      <c r="O21" s="69">
        <f>'Cenová inflácia'!Q10/100</f>
        <v>0.12779234288381436</v>
      </c>
      <c r="P21" s="69">
        <f>'Cenová inflácia'!R10/100</f>
        <v>0.10563085658334327</v>
      </c>
    </row>
    <row r="22" spans="2:16">
      <c r="B22" s="37" t="s">
        <v>548</v>
      </c>
      <c r="C22" s="42"/>
      <c r="D22" s="42"/>
      <c r="E22" s="43"/>
      <c r="F22" s="43"/>
      <c r="G22" s="43"/>
      <c r="H22" s="44"/>
      <c r="I22" s="44"/>
    </row>
    <row r="23" spans="2:16">
      <c r="B23" s="42"/>
      <c r="C23" s="42"/>
      <c r="D23" s="42"/>
      <c r="E23" s="43"/>
      <c r="F23" s="43"/>
      <c r="G23" s="43"/>
      <c r="H23" s="44"/>
      <c r="I23" s="44"/>
    </row>
    <row r="24" spans="2:16" ht="17.25" customHeight="1">
      <c r="B24" s="869" t="s">
        <v>74</v>
      </c>
      <c r="C24" s="870"/>
      <c r="D24" s="42"/>
      <c r="E24" s="43"/>
      <c r="F24" s="43"/>
      <c r="G24" s="43"/>
      <c r="H24" s="44"/>
      <c r="I24" s="44"/>
    </row>
    <row r="25" spans="2:16" ht="17.25" customHeight="1">
      <c r="B25" s="871"/>
      <c r="C25" s="872"/>
      <c r="D25" s="42"/>
      <c r="E25" s="43"/>
      <c r="F25" s="43"/>
      <c r="G25" s="43"/>
      <c r="H25" s="44"/>
      <c r="I25" s="44"/>
    </row>
    <row r="26" spans="2:16">
      <c r="B26" s="41" t="s">
        <v>424</v>
      </c>
      <c r="C26" s="70">
        <f>1/(1+P21)</f>
        <v>0.90446100888521941</v>
      </c>
      <c r="D26" s="42"/>
      <c r="E26" s="43"/>
      <c r="F26" s="43"/>
      <c r="G26" s="43"/>
      <c r="H26" s="44"/>
      <c r="I26" s="44"/>
    </row>
    <row r="27" spans="2:16">
      <c r="B27" s="41" t="s">
        <v>425</v>
      </c>
      <c r="C27" s="70">
        <f>C26/(1+O21)</f>
        <v>0.80197477362940151</v>
      </c>
      <c r="D27" s="42"/>
      <c r="E27" s="43"/>
      <c r="F27" s="43"/>
      <c r="G27" s="43"/>
      <c r="H27" s="44"/>
      <c r="I27" s="44"/>
    </row>
    <row r="28" spans="2:16">
      <c r="B28" s="41" t="s">
        <v>426</v>
      </c>
      <c r="C28" s="70">
        <f>C27/(1+N21)</f>
        <v>0.77740581099112605</v>
      </c>
      <c r="D28" s="42"/>
      <c r="E28" s="43"/>
      <c r="F28" s="43"/>
      <c r="G28" s="43"/>
      <c r="H28" s="44"/>
      <c r="I28" s="44"/>
    </row>
    <row r="29" spans="2:16">
      <c r="B29" s="41" t="s">
        <v>427</v>
      </c>
      <c r="C29" s="70">
        <f>C28/(1+M21)</f>
        <v>0.76266724886251935</v>
      </c>
      <c r="D29" s="42"/>
      <c r="E29" s="43"/>
      <c r="F29" s="43"/>
      <c r="G29" s="43"/>
      <c r="H29" s="44"/>
      <c r="I29" s="44"/>
    </row>
    <row r="30" spans="2:16">
      <c r="B30" s="41" t="s">
        <v>428</v>
      </c>
      <c r="C30" s="70">
        <f>C29/(1+L21)</f>
        <v>0.74277926136959005</v>
      </c>
      <c r="D30" s="42"/>
      <c r="E30" s="43"/>
      <c r="F30" s="43"/>
      <c r="G30" s="43"/>
      <c r="H30" s="44"/>
      <c r="I30" s="44"/>
    </row>
    <row r="31" spans="2:16">
      <c r="B31" s="41" t="s">
        <v>429</v>
      </c>
      <c r="C31" s="70">
        <f>C30/(1+K21)</f>
        <v>0.72470352335981869</v>
      </c>
      <c r="D31" s="42"/>
      <c r="E31" s="43"/>
      <c r="F31" s="43"/>
      <c r="G31" s="43"/>
      <c r="H31" s="44"/>
      <c r="I31" s="44"/>
    </row>
    <row r="32" spans="2:16">
      <c r="B32" s="41" t="s">
        <v>430</v>
      </c>
      <c r="C32" s="70">
        <f>C31/(1+J21)</f>
        <v>0.71534405956403224</v>
      </c>
      <c r="D32" s="42"/>
      <c r="E32" s="43"/>
      <c r="F32" s="43"/>
      <c r="G32" s="43"/>
      <c r="H32" s="44"/>
      <c r="I32" s="44"/>
    </row>
    <row r="33" spans="2:44">
      <c r="B33" s="41" t="s">
        <v>431</v>
      </c>
      <c r="C33" s="70">
        <f>C32/(1+I21)</f>
        <v>0.71907950896802797</v>
      </c>
      <c r="D33" s="42"/>
      <c r="E33" s="43"/>
      <c r="F33" s="43"/>
      <c r="G33" s="43"/>
      <c r="H33" s="44"/>
      <c r="I33" s="44"/>
    </row>
    <row r="34" spans="2:44">
      <c r="B34" s="41" t="s">
        <v>432</v>
      </c>
      <c r="C34" s="70">
        <f>C33/(1+H21)</f>
        <v>0.72145128106261625</v>
      </c>
      <c r="D34" s="42"/>
      <c r="E34" s="43"/>
      <c r="F34" s="43"/>
      <c r="G34" s="43"/>
      <c r="H34" s="44"/>
      <c r="I34" s="44"/>
    </row>
    <row r="35" spans="2:44">
      <c r="B35" s="41" t="s">
        <v>433</v>
      </c>
      <c r="C35" s="70">
        <f>C34/(1+G21)</f>
        <v>0.72194982975637823</v>
      </c>
      <c r="D35" s="42"/>
      <c r="E35" s="43"/>
      <c r="F35" s="43"/>
      <c r="G35" s="43"/>
      <c r="H35" s="44"/>
      <c r="I35" s="44"/>
    </row>
    <row r="36" spans="2:44">
      <c r="B36" s="41" t="s">
        <v>434</v>
      </c>
      <c r="C36" s="70">
        <f>C35/(1+F21)</f>
        <v>0.71205950346395341</v>
      </c>
      <c r="D36" s="42"/>
      <c r="E36" s="43"/>
      <c r="F36" s="43"/>
      <c r="G36" s="43"/>
      <c r="H36" s="44"/>
      <c r="I36" s="44"/>
    </row>
    <row r="37" spans="2:44">
      <c r="B37" s="41" t="s">
        <v>435</v>
      </c>
      <c r="C37" s="70">
        <f>C36/(1+E21)</f>
        <v>0.68721638215788883</v>
      </c>
      <c r="D37" s="42"/>
      <c r="E37" s="43"/>
      <c r="F37" s="43"/>
      <c r="G37" s="43"/>
      <c r="H37" s="44"/>
      <c r="I37" s="44"/>
    </row>
    <row r="38" spans="2:44">
      <c r="B38" s="41" t="s">
        <v>436</v>
      </c>
      <c r="C38" s="70">
        <f>C37/(1+D21)</f>
        <v>0.66136516606664386</v>
      </c>
    </row>
    <row r="39" spans="2:44">
      <c r="B39" s="41" t="s">
        <v>437</v>
      </c>
      <c r="C39" s="70">
        <f>C38/(1+C21)</f>
        <v>0.65505632561102378</v>
      </c>
    </row>
    <row r="41" spans="2:44">
      <c r="B41" s="861" t="s">
        <v>88</v>
      </c>
      <c r="C41" s="152"/>
      <c r="D41" s="153">
        <v>2022</v>
      </c>
      <c r="E41" s="153">
        <v>2023</v>
      </c>
      <c r="F41" s="153">
        <v>2024</v>
      </c>
      <c r="G41" s="153">
        <v>2025</v>
      </c>
      <c r="H41" s="153">
        <v>2026</v>
      </c>
      <c r="I41" s="153">
        <v>2027</v>
      </c>
      <c r="J41" s="153">
        <v>2028</v>
      </c>
      <c r="K41" s="153">
        <v>2029</v>
      </c>
      <c r="L41" s="153">
        <v>2030</v>
      </c>
      <c r="M41" s="153">
        <v>2031</v>
      </c>
      <c r="N41" s="153">
        <v>2032</v>
      </c>
      <c r="O41" s="153">
        <v>2033</v>
      </c>
      <c r="P41" s="153">
        <v>2034</v>
      </c>
      <c r="Q41" s="153">
        <v>2035</v>
      </c>
      <c r="R41" s="153">
        <v>2036</v>
      </c>
      <c r="S41" s="153">
        <v>2037</v>
      </c>
      <c r="T41" s="153">
        <v>2038</v>
      </c>
      <c r="U41" s="153">
        <v>2039</v>
      </c>
      <c r="V41" s="153">
        <v>2040</v>
      </c>
      <c r="W41" s="153">
        <v>2041</v>
      </c>
      <c r="X41" s="153">
        <v>2042</v>
      </c>
      <c r="Y41" s="153">
        <v>2043</v>
      </c>
      <c r="Z41" s="153">
        <v>2044</v>
      </c>
      <c r="AA41" s="153">
        <v>2045</v>
      </c>
      <c r="AB41" s="153">
        <v>2046</v>
      </c>
      <c r="AC41" s="153">
        <v>2047</v>
      </c>
      <c r="AD41" s="153">
        <v>2048</v>
      </c>
      <c r="AE41" s="153">
        <v>2049</v>
      </c>
      <c r="AF41" s="153">
        <v>2050</v>
      </c>
      <c r="AG41" s="153">
        <v>2051</v>
      </c>
      <c r="AH41" s="153">
        <v>2052</v>
      </c>
      <c r="AI41" s="153">
        <v>2053</v>
      </c>
      <c r="AJ41" s="153">
        <v>2054</v>
      </c>
      <c r="AK41" s="153">
        <v>2055</v>
      </c>
      <c r="AL41" s="153">
        <v>2056</v>
      </c>
      <c r="AM41" s="153">
        <v>2057</v>
      </c>
      <c r="AN41" s="153">
        <v>2058</v>
      </c>
      <c r="AO41" s="153">
        <v>2059</v>
      </c>
      <c r="AP41" s="153">
        <v>2060</v>
      </c>
      <c r="AQ41" s="153">
        <v>2061</v>
      </c>
      <c r="AR41" s="153">
        <v>2062</v>
      </c>
    </row>
    <row r="42" spans="2:44">
      <c r="B42" s="861" t="s">
        <v>35</v>
      </c>
      <c r="C42" s="3"/>
      <c r="D42" s="89">
        <f>'Hrubý domáci produkt'!Q11/100</f>
        <v>1.6687029395207498E-2</v>
      </c>
      <c r="E42" s="89">
        <f>'Hrubý domáci produkt'!R11/100</f>
        <v>1.2375324774864582E-2</v>
      </c>
      <c r="F42" s="89">
        <f>'Hrubý domáci produkt'!S11/100</f>
        <v>1.2532331240635131E-2</v>
      </c>
      <c r="G42" s="89">
        <f>'Hrubý domáci produkt'!T11/100</f>
        <v>3.1490149346651286E-2</v>
      </c>
      <c r="H42" s="89">
        <f>'Hrubý domáci produkt'!U11/100</f>
        <v>2.129640705339364E-2</v>
      </c>
      <c r="I42" s="89">
        <f>'Hrubý domáci produkt'!V11/100</f>
        <v>2.0843131629413536E-2</v>
      </c>
      <c r="J42" s="89">
        <v>1.7000000000000001E-2</v>
      </c>
      <c r="K42" s="89">
        <v>1.7000000000000001E-2</v>
      </c>
      <c r="L42" s="89">
        <v>1.7000000000000001E-2</v>
      </c>
      <c r="M42" s="89">
        <v>1.2E-2</v>
      </c>
      <c r="N42" s="89">
        <v>1.2E-2</v>
      </c>
      <c r="O42" s="89">
        <v>1.2E-2</v>
      </c>
      <c r="P42" s="89">
        <v>1.2E-2</v>
      </c>
      <c r="Q42" s="89">
        <v>1.2E-2</v>
      </c>
      <c r="R42" s="89">
        <v>1.2E-2</v>
      </c>
      <c r="S42" s="89">
        <v>1.2E-2</v>
      </c>
      <c r="T42" s="89">
        <v>1.2E-2</v>
      </c>
      <c r="U42" s="89">
        <v>1.2E-2</v>
      </c>
      <c r="V42" s="89">
        <v>1.2E-2</v>
      </c>
      <c r="W42" s="89">
        <v>0.01</v>
      </c>
      <c r="X42" s="89">
        <v>0.01</v>
      </c>
      <c r="Y42" s="89">
        <v>0.01</v>
      </c>
      <c r="Z42" s="89">
        <v>0.01</v>
      </c>
      <c r="AA42" s="89">
        <v>0.01</v>
      </c>
      <c r="AB42" s="89">
        <v>0.01</v>
      </c>
      <c r="AC42" s="89">
        <v>0.01</v>
      </c>
      <c r="AD42" s="89">
        <v>0.01</v>
      </c>
      <c r="AE42" s="89">
        <v>0.01</v>
      </c>
      <c r="AF42" s="89">
        <v>0.01</v>
      </c>
      <c r="AG42" s="89">
        <v>1.2999999999999999E-2</v>
      </c>
      <c r="AH42" s="89">
        <v>1.2999999999999999E-2</v>
      </c>
      <c r="AI42" s="89">
        <v>1.2999999999999999E-2</v>
      </c>
      <c r="AJ42" s="89">
        <v>1.2999999999999999E-2</v>
      </c>
      <c r="AK42" s="89">
        <v>1.2999999999999999E-2</v>
      </c>
      <c r="AL42" s="89">
        <v>1.2999999999999999E-2</v>
      </c>
      <c r="AM42" s="89">
        <v>1.2999999999999999E-2</v>
      </c>
      <c r="AN42" s="89">
        <v>1.2999999999999999E-2</v>
      </c>
      <c r="AO42" s="89">
        <v>1.2999999999999999E-2</v>
      </c>
      <c r="AP42" s="89">
        <v>1.2999999999999999E-2</v>
      </c>
      <c r="AQ42" s="89">
        <v>1.2999999999999999E-2</v>
      </c>
      <c r="AR42" s="89">
        <v>1.2999999999999999E-2</v>
      </c>
    </row>
    <row r="43" spans="2:44">
      <c r="B43" s="1" t="s">
        <v>549</v>
      </c>
    </row>
    <row r="44" spans="2:44">
      <c r="B44" s="1"/>
    </row>
    <row r="45" spans="2:44">
      <c r="B45" s="867" t="s">
        <v>332</v>
      </c>
      <c r="C45" s="868" t="s">
        <v>163</v>
      </c>
      <c r="D45" s="868" t="s">
        <v>275</v>
      </c>
      <c r="E45" s="868"/>
      <c r="F45" s="868"/>
      <c r="G45" s="868"/>
      <c r="H45" s="868"/>
      <c r="I45" s="868"/>
    </row>
    <row r="46" spans="2:44">
      <c r="B46" s="867"/>
      <c r="C46" s="868"/>
      <c r="D46" s="151" t="s">
        <v>279</v>
      </c>
      <c r="E46" s="151" t="s">
        <v>279</v>
      </c>
      <c r="F46" s="151" t="s">
        <v>279</v>
      </c>
      <c r="G46" s="151" t="s">
        <v>267</v>
      </c>
      <c r="H46" s="151" t="s">
        <v>279</v>
      </c>
      <c r="I46" s="151" t="s">
        <v>282</v>
      </c>
    </row>
    <row r="47" spans="2:44" ht="22.5">
      <c r="B47" s="867"/>
      <c r="C47" s="868"/>
      <c r="D47" s="154" t="s">
        <v>280</v>
      </c>
      <c r="E47" s="154" t="s">
        <v>281</v>
      </c>
      <c r="F47" s="154" t="s">
        <v>289</v>
      </c>
      <c r="G47" s="154" t="s">
        <v>290</v>
      </c>
      <c r="H47" s="154" t="s">
        <v>290</v>
      </c>
      <c r="I47" s="154" t="s">
        <v>283</v>
      </c>
    </row>
    <row r="48" spans="2:44">
      <c r="B48" s="137" t="s">
        <v>325</v>
      </c>
      <c r="C48" s="138" t="s">
        <v>276</v>
      </c>
      <c r="D48" s="147">
        <f>1.6/$C$27</f>
        <v>1.9950752225772277</v>
      </c>
      <c r="E48" s="148">
        <f>2.26/$C$27</f>
        <v>2.8180437518903338</v>
      </c>
      <c r="F48" s="148">
        <f>3.12/$C$27</f>
        <v>3.8903966840255939</v>
      </c>
      <c r="G48" s="148">
        <f>2.4/$C$27</f>
        <v>2.9926128338658415</v>
      </c>
      <c r="H48" s="148">
        <f>2.4/$C$27</f>
        <v>2.9926128338658415</v>
      </c>
      <c r="I48" s="148">
        <f>1.38/$C$27</f>
        <v>1.7207523794728588</v>
      </c>
    </row>
    <row r="49" spans="2:9">
      <c r="B49" s="137" t="s">
        <v>326</v>
      </c>
      <c r="C49" s="138" t="s">
        <v>276</v>
      </c>
      <c r="D49" s="147">
        <f>0.22/$C$27</f>
        <v>0.27432284310436883</v>
      </c>
      <c r="E49" s="148">
        <f>0.32/$C$27</f>
        <v>0.39901504451544556</v>
      </c>
      <c r="F49" s="148">
        <f>0.6/$C$27</f>
        <v>0.74815320846646038</v>
      </c>
      <c r="G49" s="148">
        <f>0.24/$C$27</f>
        <v>0.29926128338658414</v>
      </c>
      <c r="H49" s="148">
        <f>0.24/$C$27</f>
        <v>0.29926128338658414</v>
      </c>
      <c r="I49" s="148">
        <f>0.13/$C$27</f>
        <v>0.16209986183439976</v>
      </c>
    </row>
    <row r="50" spans="2:9">
      <c r="B50" s="137" t="s">
        <v>284</v>
      </c>
      <c r="C50" s="138" t="s">
        <v>276</v>
      </c>
      <c r="D50" s="147" t="s">
        <v>286</v>
      </c>
      <c r="E50" s="148" t="s">
        <v>286</v>
      </c>
      <c r="F50" s="148" t="s">
        <v>286</v>
      </c>
      <c r="G50" s="148">
        <f>2.92/$C$27</f>
        <v>3.6410122812034404</v>
      </c>
      <c r="H50" s="148" t="s">
        <v>286</v>
      </c>
      <c r="I50" s="148">
        <f>2.8/$C$27</f>
        <v>3.491381639510148</v>
      </c>
    </row>
    <row r="51" spans="2:9">
      <c r="B51" s="137" t="s">
        <v>327</v>
      </c>
      <c r="C51" s="138" t="s">
        <v>276</v>
      </c>
      <c r="D51" s="147">
        <f>1.4/$C$27</f>
        <v>1.745690819755074</v>
      </c>
      <c r="E51" s="148">
        <f>1.4/$C$27</f>
        <v>1.745690819755074</v>
      </c>
      <c r="F51" s="148">
        <f>3.7/$C$27</f>
        <v>4.613611452209839</v>
      </c>
      <c r="G51" s="148" t="s">
        <v>286</v>
      </c>
      <c r="H51" s="148">
        <f>1.8/$C$27</f>
        <v>2.2444596253993812</v>
      </c>
      <c r="I51" s="148" t="s">
        <v>286</v>
      </c>
    </row>
    <row r="52" spans="2:9">
      <c r="B52" s="137" t="s">
        <v>328</v>
      </c>
      <c r="C52" s="138" t="s">
        <v>276</v>
      </c>
      <c r="D52" s="147">
        <f>0.29/$C$27</f>
        <v>0.36160738409212251</v>
      </c>
      <c r="E52" s="148">
        <f>0.29/$C$27</f>
        <v>0.36160738409212251</v>
      </c>
      <c r="F52" s="148">
        <f>0.6/$C$27</f>
        <v>0.74815320846646038</v>
      </c>
      <c r="G52" s="148">
        <f>0.28/$C$27</f>
        <v>0.34913816395101488</v>
      </c>
      <c r="H52" s="148">
        <f>0.28/$C$27</f>
        <v>0.34913816395101488</v>
      </c>
      <c r="I52" s="148">
        <f>0.21/$C$27</f>
        <v>0.26185362296326115</v>
      </c>
    </row>
    <row r="53" spans="2:9">
      <c r="B53" s="137" t="s">
        <v>329</v>
      </c>
      <c r="C53" s="138" t="s">
        <v>276</v>
      </c>
      <c r="D53" s="147">
        <f>0.35/$C$27</f>
        <v>0.4364227049387685</v>
      </c>
      <c r="E53" s="148">
        <f>0.59/$C$27</f>
        <v>0.73568398832535264</v>
      </c>
      <c r="F53" s="148">
        <f>0.5/$C$27</f>
        <v>0.62346100705538365</v>
      </c>
      <c r="G53" s="148">
        <f>0.4/$C$27</f>
        <v>0.49876880564430692</v>
      </c>
      <c r="H53" s="148">
        <f>0.4/$C$27</f>
        <v>0.49876880564430692</v>
      </c>
      <c r="I53" s="148">
        <f>0.24/$C$27</f>
        <v>0.29926128338658414</v>
      </c>
    </row>
    <row r="54" spans="2:9">
      <c r="B54" s="137" t="s">
        <v>330</v>
      </c>
      <c r="C54" s="138" t="s">
        <v>276</v>
      </c>
      <c r="D54" s="147">
        <f>1.4/$C$27</f>
        <v>1.745690819755074</v>
      </c>
      <c r="E54" s="148">
        <f>1.45/$C$27</f>
        <v>1.8080369204606126</v>
      </c>
      <c r="F54" s="148">
        <f>2.1/$C$27</f>
        <v>2.6185362296326113</v>
      </c>
      <c r="G54" s="148">
        <f>1.48/$C$27</f>
        <v>1.8454445808839355</v>
      </c>
      <c r="H54" s="148">
        <f>1.6/$C$27</f>
        <v>1.9950752225772277</v>
      </c>
      <c r="I54" s="148">
        <f>1.29/$C$27</f>
        <v>1.6085293982028899</v>
      </c>
    </row>
    <row r="55" spans="2:9">
      <c r="B55" s="137" t="s">
        <v>331</v>
      </c>
      <c r="C55" s="138" t="s">
        <v>277</v>
      </c>
      <c r="D55" s="147">
        <f>68.1/$C$27</f>
        <v>84.915389160943249</v>
      </c>
      <c r="E55" s="148">
        <f>68.1/$C$27</f>
        <v>84.915389160943249</v>
      </c>
      <c r="F55" s="148">
        <f>81.7/$C$27</f>
        <v>101.87352855284969</v>
      </c>
      <c r="G55" s="148">
        <f>68.1/$C$27</f>
        <v>84.915389160943249</v>
      </c>
      <c r="H55" s="148">
        <f>68.1/$C$27</f>
        <v>84.915389160943249</v>
      </c>
      <c r="I55" s="148">
        <f>68.1/$C$27</f>
        <v>84.915389160943249</v>
      </c>
    </row>
    <row r="56" spans="2:9">
      <c r="B56" s="1" t="s">
        <v>438</v>
      </c>
    </row>
    <row r="58" spans="2:9" ht="33.75">
      <c r="B58" s="155" t="s">
        <v>336</v>
      </c>
      <c r="C58" s="151" t="s">
        <v>337</v>
      </c>
    </row>
    <row r="59" spans="2:9">
      <c r="B59" s="146" t="s">
        <v>333</v>
      </c>
      <c r="C59" s="85">
        <v>2.3E-2</v>
      </c>
    </row>
    <row r="60" spans="2:9">
      <c r="B60" s="146" t="s">
        <v>334</v>
      </c>
      <c r="C60" s="85">
        <v>1.6E-2</v>
      </c>
    </row>
    <row r="61" spans="2:9">
      <c r="B61" s="146" t="s">
        <v>335</v>
      </c>
      <c r="C61" s="85">
        <v>2.1000000000000001E-2</v>
      </c>
    </row>
    <row r="62" spans="2:9">
      <c r="B62" s="1" t="s">
        <v>87</v>
      </c>
    </row>
    <row r="64" spans="2:9" ht="17.25" customHeight="1">
      <c r="B64" s="861" t="s">
        <v>7</v>
      </c>
      <c r="C64" s="861"/>
      <c r="E64" s="2" t="s">
        <v>108</v>
      </c>
    </row>
    <row r="65" spans="2:6">
      <c r="B65" s="25" t="s">
        <v>65</v>
      </c>
      <c r="C65" s="86">
        <v>0.9</v>
      </c>
      <c r="E65" s="2" t="s">
        <v>109</v>
      </c>
    </row>
    <row r="66" spans="2:6">
      <c r="B66" s="3" t="s">
        <v>106</v>
      </c>
      <c r="C66" s="87">
        <v>0.5</v>
      </c>
    </row>
    <row r="67" spans="2:6">
      <c r="B67" s="3" t="s">
        <v>104</v>
      </c>
      <c r="C67" s="87">
        <v>0.6</v>
      </c>
    </row>
    <row r="68" spans="2:6">
      <c r="B68" s="3" t="s">
        <v>66</v>
      </c>
      <c r="C68" s="87">
        <v>1</v>
      </c>
    </row>
    <row r="69" spans="2:6">
      <c r="B69" s="1" t="s">
        <v>105</v>
      </c>
      <c r="C69" s="88"/>
    </row>
    <row r="70" spans="2:6">
      <c r="B70" s="1"/>
      <c r="C70" s="88"/>
    </row>
    <row r="71" spans="2:6" ht="17.25" customHeight="1">
      <c r="B71" s="149" t="s">
        <v>107</v>
      </c>
      <c r="C71" s="15">
        <v>0.9</v>
      </c>
      <c r="E71" s="2" t="s">
        <v>110</v>
      </c>
    </row>
    <row r="72" spans="2:6">
      <c r="B72" s="1" t="s">
        <v>105</v>
      </c>
    </row>
    <row r="74" spans="2:6" ht="34.5" customHeight="1">
      <c r="B74" s="156" t="s">
        <v>68</v>
      </c>
      <c r="C74" s="157" t="s">
        <v>251</v>
      </c>
      <c r="D74" s="157" t="s">
        <v>69</v>
      </c>
      <c r="E74" s="157" t="s">
        <v>70</v>
      </c>
    </row>
    <row r="75" spans="2:6">
      <c r="B75" s="3" t="s">
        <v>113</v>
      </c>
      <c r="C75" s="73">
        <v>7.2999999999999995E-2</v>
      </c>
      <c r="D75" s="73">
        <v>0.24399999999999999</v>
      </c>
      <c r="E75" s="73">
        <v>0.68300000000000005</v>
      </c>
      <c r="F75" s="839">
        <f>SUM(C75:E75)</f>
        <v>1</v>
      </c>
    </row>
    <row r="76" spans="2:6">
      <c r="B76" s="3" t="s">
        <v>77</v>
      </c>
      <c r="C76" s="73">
        <v>3.6999999999999998E-2</v>
      </c>
      <c r="D76" s="73">
        <v>0.33800000000000002</v>
      </c>
      <c r="E76" s="73">
        <v>0.625</v>
      </c>
      <c r="F76" s="839">
        <f t="shared" ref="F76:F78" si="0">SUM(C76:E76)</f>
        <v>1</v>
      </c>
    </row>
    <row r="77" spans="2:6">
      <c r="B77" s="3" t="s">
        <v>71</v>
      </c>
      <c r="C77" s="73">
        <v>3.7999999999999999E-2</v>
      </c>
      <c r="D77" s="73">
        <v>0.39200000000000002</v>
      </c>
      <c r="E77" s="73">
        <v>0.56999999999999995</v>
      </c>
      <c r="F77" s="839">
        <f t="shared" si="0"/>
        <v>1</v>
      </c>
    </row>
    <row r="78" spans="2:6">
      <c r="B78" s="3" t="s">
        <v>114</v>
      </c>
      <c r="C78" s="73">
        <v>4.2999999999999997E-2</v>
      </c>
      <c r="D78" s="73">
        <v>0.25600000000000001</v>
      </c>
      <c r="E78" s="73">
        <v>0.70099999999999996</v>
      </c>
      <c r="F78" s="839">
        <f t="shared" si="0"/>
        <v>1</v>
      </c>
    </row>
    <row r="79" spans="2:6">
      <c r="B79" s="1" t="s">
        <v>76</v>
      </c>
    </row>
    <row r="81" spans="2:44" ht="17.25" customHeight="1">
      <c r="B81" s="158" t="s">
        <v>117</v>
      </c>
      <c r="C81" s="153">
        <v>2021</v>
      </c>
      <c r="D81" s="153">
        <v>2022</v>
      </c>
      <c r="E81" s="153">
        <v>2023</v>
      </c>
      <c r="F81" s="153">
        <v>2024</v>
      </c>
      <c r="G81" s="153">
        <v>2025</v>
      </c>
      <c r="H81" s="153">
        <v>2026</v>
      </c>
      <c r="I81" s="153">
        <v>2027</v>
      </c>
      <c r="J81" s="153">
        <v>2028</v>
      </c>
      <c r="K81" s="153">
        <v>2029</v>
      </c>
      <c r="L81" s="153">
        <v>2030</v>
      </c>
      <c r="M81" s="153">
        <v>2031</v>
      </c>
      <c r="N81" s="153">
        <v>2032</v>
      </c>
      <c r="O81" s="153">
        <v>2033</v>
      </c>
      <c r="P81" s="153">
        <v>2034</v>
      </c>
      <c r="Q81" s="153">
        <v>2035</v>
      </c>
      <c r="R81" s="153">
        <v>2036</v>
      </c>
      <c r="S81" s="153">
        <v>2037</v>
      </c>
      <c r="T81" s="153">
        <v>2038</v>
      </c>
      <c r="U81" s="153">
        <v>2039</v>
      </c>
      <c r="V81" s="153">
        <v>2040</v>
      </c>
      <c r="W81" s="153">
        <v>2041</v>
      </c>
      <c r="X81" s="153">
        <v>2042</v>
      </c>
      <c r="Y81" s="153">
        <v>2043</v>
      </c>
      <c r="Z81" s="153">
        <v>2044</v>
      </c>
      <c r="AA81" s="153">
        <v>2045</v>
      </c>
      <c r="AB81" s="153">
        <v>2046</v>
      </c>
      <c r="AC81" s="153">
        <v>2047</v>
      </c>
      <c r="AD81" s="153">
        <v>2048</v>
      </c>
      <c r="AE81" s="153">
        <v>2049</v>
      </c>
      <c r="AF81" s="153">
        <v>2050</v>
      </c>
      <c r="AG81" s="153">
        <v>2051</v>
      </c>
      <c r="AH81" s="153">
        <v>2052</v>
      </c>
      <c r="AI81" s="153">
        <v>2053</v>
      </c>
      <c r="AJ81" s="153">
        <v>2054</v>
      </c>
      <c r="AK81" s="153">
        <v>2055</v>
      </c>
      <c r="AL81" s="153">
        <v>2056</v>
      </c>
      <c r="AM81" s="153">
        <v>2057</v>
      </c>
      <c r="AN81" s="153">
        <v>2058</v>
      </c>
      <c r="AO81" s="153">
        <v>2059</v>
      </c>
      <c r="AP81" s="153">
        <v>2060</v>
      </c>
      <c r="AQ81" s="153">
        <v>2061</v>
      </c>
      <c r="AR81" s="153">
        <v>2062</v>
      </c>
    </row>
    <row r="82" spans="2:44">
      <c r="B82" s="67" t="s">
        <v>184</v>
      </c>
      <c r="C82" s="46">
        <f>15.71/$C$27</f>
        <v>19.589144841680156</v>
      </c>
      <c r="D82" s="46">
        <f t="shared" ref="D82:AP82" si="1">ROUND(C82*(1+(0.7*D42)),2)</f>
        <v>19.82</v>
      </c>
      <c r="E82" s="46">
        <f t="shared" si="1"/>
        <v>19.989999999999998</v>
      </c>
      <c r="F82" s="46">
        <f t="shared" si="1"/>
        <v>20.170000000000002</v>
      </c>
      <c r="G82" s="46">
        <f t="shared" si="1"/>
        <v>20.61</v>
      </c>
      <c r="H82" s="46">
        <f t="shared" si="1"/>
        <v>20.92</v>
      </c>
      <c r="I82" s="46">
        <f t="shared" si="1"/>
        <v>21.23</v>
      </c>
      <c r="J82" s="46">
        <f t="shared" si="1"/>
        <v>21.48</v>
      </c>
      <c r="K82" s="46">
        <f t="shared" si="1"/>
        <v>21.74</v>
      </c>
      <c r="L82" s="46">
        <f t="shared" si="1"/>
        <v>22</v>
      </c>
      <c r="M82" s="46">
        <f t="shared" si="1"/>
        <v>22.18</v>
      </c>
      <c r="N82" s="46">
        <f t="shared" si="1"/>
        <v>22.37</v>
      </c>
      <c r="O82" s="46">
        <f t="shared" si="1"/>
        <v>22.56</v>
      </c>
      <c r="P82" s="46">
        <f t="shared" si="1"/>
        <v>22.75</v>
      </c>
      <c r="Q82" s="46">
        <f t="shared" si="1"/>
        <v>22.94</v>
      </c>
      <c r="R82" s="46">
        <f t="shared" si="1"/>
        <v>23.13</v>
      </c>
      <c r="S82" s="46">
        <f t="shared" si="1"/>
        <v>23.32</v>
      </c>
      <c r="T82" s="46">
        <f t="shared" si="1"/>
        <v>23.52</v>
      </c>
      <c r="U82" s="46">
        <f t="shared" si="1"/>
        <v>23.72</v>
      </c>
      <c r="V82" s="46">
        <f t="shared" si="1"/>
        <v>23.92</v>
      </c>
      <c r="W82" s="46">
        <f t="shared" si="1"/>
        <v>24.09</v>
      </c>
      <c r="X82" s="46">
        <f t="shared" si="1"/>
        <v>24.26</v>
      </c>
      <c r="Y82" s="46">
        <f t="shared" si="1"/>
        <v>24.43</v>
      </c>
      <c r="Z82" s="46">
        <f t="shared" si="1"/>
        <v>24.6</v>
      </c>
      <c r="AA82" s="46">
        <f t="shared" si="1"/>
        <v>24.77</v>
      </c>
      <c r="AB82" s="46">
        <f t="shared" si="1"/>
        <v>24.94</v>
      </c>
      <c r="AC82" s="46">
        <f t="shared" si="1"/>
        <v>25.11</v>
      </c>
      <c r="AD82" s="46">
        <f t="shared" si="1"/>
        <v>25.29</v>
      </c>
      <c r="AE82" s="46">
        <f t="shared" si="1"/>
        <v>25.47</v>
      </c>
      <c r="AF82" s="46">
        <f t="shared" si="1"/>
        <v>25.65</v>
      </c>
      <c r="AG82" s="46">
        <f t="shared" si="1"/>
        <v>25.88</v>
      </c>
      <c r="AH82" s="46">
        <f t="shared" si="1"/>
        <v>26.12</v>
      </c>
      <c r="AI82" s="46">
        <f t="shared" si="1"/>
        <v>26.36</v>
      </c>
      <c r="AJ82" s="46">
        <f t="shared" si="1"/>
        <v>26.6</v>
      </c>
      <c r="AK82" s="46">
        <f t="shared" si="1"/>
        <v>26.84</v>
      </c>
      <c r="AL82" s="46">
        <f t="shared" si="1"/>
        <v>27.08</v>
      </c>
      <c r="AM82" s="46">
        <f t="shared" si="1"/>
        <v>27.33</v>
      </c>
      <c r="AN82" s="46">
        <f t="shared" si="1"/>
        <v>27.58</v>
      </c>
      <c r="AO82" s="46">
        <f t="shared" si="1"/>
        <v>27.83</v>
      </c>
      <c r="AP82" s="46">
        <f t="shared" si="1"/>
        <v>28.08</v>
      </c>
      <c r="AQ82" s="46">
        <f t="shared" ref="AQ82" si="2">ROUND(AP82*(1+(0.7*AQ42)),2)</f>
        <v>28.34</v>
      </c>
      <c r="AR82" s="46">
        <f t="shared" ref="AR82" si="3">ROUND(AQ82*(1+(0.7*AR42)),2)</f>
        <v>28.6</v>
      </c>
    </row>
    <row r="83" spans="2:44">
      <c r="B83" s="45" t="s">
        <v>115</v>
      </c>
      <c r="C83" s="47">
        <f>7.45/$C$27</f>
        <v>9.289569005125216</v>
      </c>
      <c r="D83" s="47">
        <f>ROUND(C83*(1+(0.5*D42)),2)</f>
        <v>9.3699999999999992</v>
      </c>
      <c r="E83" s="47">
        <f t="shared" ref="E83:AP83" si="4">ROUND(D83*(1+(0.5*E42)),2)</f>
        <v>9.43</v>
      </c>
      <c r="F83" s="47">
        <f t="shared" si="4"/>
        <v>9.49</v>
      </c>
      <c r="G83" s="47">
        <f t="shared" si="4"/>
        <v>9.64</v>
      </c>
      <c r="H83" s="47">
        <f t="shared" si="4"/>
        <v>9.74</v>
      </c>
      <c r="I83" s="47">
        <f t="shared" si="4"/>
        <v>9.84</v>
      </c>
      <c r="J83" s="47">
        <f t="shared" si="4"/>
        <v>9.92</v>
      </c>
      <c r="K83" s="47">
        <f t="shared" si="4"/>
        <v>10</v>
      </c>
      <c r="L83" s="47">
        <f t="shared" si="4"/>
        <v>10.09</v>
      </c>
      <c r="M83" s="47">
        <f t="shared" si="4"/>
        <v>10.15</v>
      </c>
      <c r="N83" s="47">
        <f t="shared" si="4"/>
        <v>10.210000000000001</v>
      </c>
      <c r="O83" s="47">
        <f t="shared" si="4"/>
        <v>10.27</v>
      </c>
      <c r="P83" s="47">
        <f t="shared" si="4"/>
        <v>10.33</v>
      </c>
      <c r="Q83" s="47">
        <f t="shared" si="4"/>
        <v>10.39</v>
      </c>
      <c r="R83" s="47">
        <f t="shared" si="4"/>
        <v>10.45</v>
      </c>
      <c r="S83" s="47">
        <f t="shared" si="4"/>
        <v>10.51</v>
      </c>
      <c r="T83" s="47">
        <f t="shared" si="4"/>
        <v>10.57</v>
      </c>
      <c r="U83" s="47">
        <f t="shared" si="4"/>
        <v>10.63</v>
      </c>
      <c r="V83" s="47">
        <f t="shared" si="4"/>
        <v>10.69</v>
      </c>
      <c r="W83" s="47">
        <f t="shared" si="4"/>
        <v>10.74</v>
      </c>
      <c r="X83" s="47">
        <f t="shared" si="4"/>
        <v>10.79</v>
      </c>
      <c r="Y83" s="47">
        <f t="shared" si="4"/>
        <v>10.84</v>
      </c>
      <c r="Z83" s="47">
        <f t="shared" si="4"/>
        <v>10.89</v>
      </c>
      <c r="AA83" s="47">
        <f t="shared" si="4"/>
        <v>10.94</v>
      </c>
      <c r="AB83" s="47">
        <f t="shared" si="4"/>
        <v>10.99</v>
      </c>
      <c r="AC83" s="47">
        <f t="shared" si="4"/>
        <v>11.04</v>
      </c>
      <c r="AD83" s="47">
        <f t="shared" si="4"/>
        <v>11.1</v>
      </c>
      <c r="AE83" s="47">
        <f t="shared" si="4"/>
        <v>11.16</v>
      </c>
      <c r="AF83" s="47">
        <f t="shared" si="4"/>
        <v>11.22</v>
      </c>
      <c r="AG83" s="47">
        <f t="shared" si="4"/>
        <v>11.29</v>
      </c>
      <c r="AH83" s="47">
        <f t="shared" si="4"/>
        <v>11.36</v>
      </c>
      <c r="AI83" s="47">
        <f t="shared" si="4"/>
        <v>11.43</v>
      </c>
      <c r="AJ83" s="47">
        <f t="shared" si="4"/>
        <v>11.5</v>
      </c>
      <c r="AK83" s="47">
        <f t="shared" si="4"/>
        <v>11.57</v>
      </c>
      <c r="AL83" s="47">
        <f t="shared" si="4"/>
        <v>11.65</v>
      </c>
      <c r="AM83" s="47">
        <f t="shared" si="4"/>
        <v>11.73</v>
      </c>
      <c r="AN83" s="47">
        <f t="shared" si="4"/>
        <v>11.81</v>
      </c>
      <c r="AO83" s="47">
        <f t="shared" si="4"/>
        <v>11.89</v>
      </c>
      <c r="AP83" s="47">
        <f t="shared" si="4"/>
        <v>11.97</v>
      </c>
      <c r="AQ83" s="47">
        <f t="shared" ref="AQ83" si="5">ROUND(AP83*(1+(0.5*AQ42)),2)</f>
        <v>12.05</v>
      </c>
      <c r="AR83" s="47">
        <f t="shared" ref="AR83" si="6">ROUND(AQ83*(1+(0.5*AR42)),2)</f>
        <v>12.13</v>
      </c>
    </row>
    <row r="84" spans="2:44">
      <c r="B84" s="68" t="s">
        <v>116</v>
      </c>
      <c r="C84" s="47">
        <f>4.86/$C$27</f>
        <v>6.0600409885783293</v>
      </c>
      <c r="D84" s="47">
        <f t="shared" ref="D84:AP84" si="7">ROUND(C84*(1+(0.5*D42)),2)</f>
        <v>6.11</v>
      </c>
      <c r="E84" s="47">
        <f t="shared" si="7"/>
        <v>6.15</v>
      </c>
      <c r="F84" s="47">
        <f t="shared" si="7"/>
        <v>6.19</v>
      </c>
      <c r="G84" s="47">
        <f t="shared" si="7"/>
        <v>6.29</v>
      </c>
      <c r="H84" s="47">
        <f t="shared" si="7"/>
        <v>6.36</v>
      </c>
      <c r="I84" s="47">
        <f t="shared" si="7"/>
        <v>6.43</v>
      </c>
      <c r="J84" s="47">
        <f t="shared" si="7"/>
        <v>6.48</v>
      </c>
      <c r="K84" s="47">
        <f t="shared" si="7"/>
        <v>6.54</v>
      </c>
      <c r="L84" s="47">
        <f t="shared" si="7"/>
        <v>6.6</v>
      </c>
      <c r="M84" s="47">
        <f t="shared" si="7"/>
        <v>6.64</v>
      </c>
      <c r="N84" s="47">
        <f t="shared" si="7"/>
        <v>6.68</v>
      </c>
      <c r="O84" s="47">
        <f t="shared" si="7"/>
        <v>6.72</v>
      </c>
      <c r="P84" s="47">
        <f t="shared" si="7"/>
        <v>6.76</v>
      </c>
      <c r="Q84" s="47">
        <f t="shared" si="7"/>
        <v>6.8</v>
      </c>
      <c r="R84" s="47">
        <f t="shared" si="7"/>
        <v>6.84</v>
      </c>
      <c r="S84" s="47">
        <f t="shared" si="7"/>
        <v>6.88</v>
      </c>
      <c r="T84" s="47">
        <f t="shared" si="7"/>
        <v>6.92</v>
      </c>
      <c r="U84" s="47">
        <f t="shared" si="7"/>
        <v>6.96</v>
      </c>
      <c r="V84" s="47">
        <f t="shared" si="7"/>
        <v>7</v>
      </c>
      <c r="W84" s="47">
        <f t="shared" si="7"/>
        <v>7.04</v>
      </c>
      <c r="X84" s="47">
        <f t="shared" si="7"/>
        <v>7.08</v>
      </c>
      <c r="Y84" s="47">
        <f t="shared" si="7"/>
        <v>7.12</v>
      </c>
      <c r="Z84" s="47">
        <f t="shared" si="7"/>
        <v>7.16</v>
      </c>
      <c r="AA84" s="47">
        <f t="shared" si="7"/>
        <v>7.2</v>
      </c>
      <c r="AB84" s="47">
        <f t="shared" si="7"/>
        <v>7.24</v>
      </c>
      <c r="AC84" s="47">
        <f t="shared" si="7"/>
        <v>7.28</v>
      </c>
      <c r="AD84" s="47">
        <f t="shared" si="7"/>
        <v>7.32</v>
      </c>
      <c r="AE84" s="47">
        <f t="shared" si="7"/>
        <v>7.36</v>
      </c>
      <c r="AF84" s="47">
        <f t="shared" si="7"/>
        <v>7.4</v>
      </c>
      <c r="AG84" s="47">
        <f t="shared" si="7"/>
        <v>7.45</v>
      </c>
      <c r="AH84" s="47">
        <f t="shared" si="7"/>
        <v>7.5</v>
      </c>
      <c r="AI84" s="47">
        <f t="shared" si="7"/>
        <v>7.55</v>
      </c>
      <c r="AJ84" s="47">
        <f t="shared" si="7"/>
        <v>7.6</v>
      </c>
      <c r="AK84" s="47">
        <f t="shared" si="7"/>
        <v>7.65</v>
      </c>
      <c r="AL84" s="47">
        <f t="shared" si="7"/>
        <v>7.7</v>
      </c>
      <c r="AM84" s="47">
        <f t="shared" si="7"/>
        <v>7.75</v>
      </c>
      <c r="AN84" s="47">
        <f t="shared" si="7"/>
        <v>7.8</v>
      </c>
      <c r="AO84" s="47">
        <f t="shared" si="7"/>
        <v>7.85</v>
      </c>
      <c r="AP84" s="47">
        <f t="shared" si="7"/>
        <v>7.9</v>
      </c>
      <c r="AQ84" s="47">
        <f t="shared" ref="AQ84" si="8">ROUND(AP84*(1+(0.5*AQ42)),2)</f>
        <v>7.95</v>
      </c>
      <c r="AR84" s="47">
        <f t="shared" ref="AR84" si="9">ROUND(AQ84*(1+(0.5*AR42)),2)</f>
        <v>8</v>
      </c>
    </row>
    <row r="85" spans="2:44">
      <c r="B85" s="1" t="s">
        <v>439</v>
      </c>
    </row>
    <row r="86" spans="2:44">
      <c r="B86" s="1"/>
    </row>
    <row r="87" spans="2:44">
      <c r="B87" s="880" t="s">
        <v>291</v>
      </c>
      <c r="C87" s="868" t="s">
        <v>163</v>
      </c>
      <c r="D87" s="868" t="s">
        <v>275</v>
      </c>
      <c r="E87" s="868"/>
      <c r="F87" s="868"/>
      <c r="G87" s="868"/>
      <c r="H87" s="868"/>
      <c r="I87" s="868"/>
    </row>
    <row r="88" spans="2:44">
      <c r="B88" s="881"/>
      <c r="C88" s="868"/>
      <c r="D88" s="154" t="s">
        <v>279</v>
      </c>
      <c r="E88" s="154" t="s">
        <v>279</v>
      </c>
      <c r="F88" s="154" t="s">
        <v>279</v>
      </c>
      <c r="G88" s="154" t="s">
        <v>267</v>
      </c>
      <c r="H88" s="154" t="s">
        <v>279</v>
      </c>
      <c r="I88" s="154" t="s">
        <v>282</v>
      </c>
    </row>
    <row r="89" spans="2:44" ht="22.5">
      <c r="B89" s="159" t="s">
        <v>278</v>
      </c>
      <c r="C89" s="868"/>
      <c r="D89" s="154" t="s">
        <v>280</v>
      </c>
      <c r="E89" s="154" t="s">
        <v>281</v>
      </c>
      <c r="F89" s="154" t="s">
        <v>289</v>
      </c>
      <c r="G89" s="154" t="s">
        <v>290</v>
      </c>
      <c r="H89" s="154" t="s">
        <v>290</v>
      </c>
      <c r="I89" s="154" t="s">
        <v>283</v>
      </c>
    </row>
    <row r="90" spans="2:44">
      <c r="B90" s="137" t="s">
        <v>284</v>
      </c>
      <c r="C90" s="138" t="s">
        <v>285</v>
      </c>
      <c r="D90" s="140" t="s">
        <v>286</v>
      </c>
      <c r="E90" s="139" t="s">
        <v>286</v>
      </c>
      <c r="F90" s="139" t="s">
        <v>286</v>
      </c>
      <c r="G90" s="142">
        <v>2.6</v>
      </c>
      <c r="H90" s="139" t="s">
        <v>286</v>
      </c>
      <c r="I90" s="142">
        <v>2.4</v>
      </c>
    </row>
    <row r="91" spans="2:44">
      <c r="B91" s="137" t="s">
        <v>287</v>
      </c>
      <c r="C91" s="138" t="s">
        <v>288</v>
      </c>
      <c r="D91" s="141">
        <v>9.9</v>
      </c>
      <c r="E91" s="142">
        <v>10.3</v>
      </c>
      <c r="F91" s="142">
        <v>26</v>
      </c>
      <c r="G91" s="139" t="s">
        <v>286</v>
      </c>
      <c r="H91" s="142">
        <v>12.8</v>
      </c>
      <c r="I91" s="139" t="s">
        <v>286</v>
      </c>
    </row>
    <row r="92" spans="2:44">
      <c r="B92" s="1" t="s">
        <v>292</v>
      </c>
    </row>
    <row r="94" spans="2:44" ht="12.75">
      <c r="B94" s="864" t="s">
        <v>293</v>
      </c>
      <c r="C94" s="865"/>
      <c r="D94" s="865"/>
      <c r="E94" s="865"/>
      <c r="F94" s="866"/>
      <c r="G94" s="866"/>
    </row>
    <row r="95" spans="2:44">
      <c r="B95" s="160" t="s">
        <v>103</v>
      </c>
      <c r="C95" s="154" t="s">
        <v>296</v>
      </c>
      <c r="D95" s="154" t="s">
        <v>297</v>
      </c>
      <c r="E95" s="154" t="s">
        <v>298</v>
      </c>
      <c r="F95" s="161" t="s">
        <v>166</v>
      </c>
      <c r="G95" s="161" t="s">
        <v>299</v>
      </c>
    </row>
    <row r="96" spans="2:44">
      <c r="B96" s="49" t="s">
        <v>294</v>
      </c>
      <c r="C96" s="102">
        <v>1.1000000000000001</v>
      </c>
      <c r="D96" s="102">
        <v>63</v>
      </c>
      <c r="E96" s="102">
        <v>0.02</v>
      </c>
      <c r="F96" s="85">
        <v>4.8</v>
      </c>
      <c r="G96" s="85">
        <v>10</v>
      </c>
    </row>
    <row r="97" spans="2:43">
      <c r="B97" s="101" t="s">
        <v>295</v>
      </c>
      <c r="C97" s="102">
        <v>2</v>
      </c>
      <c r="D97" s="102">
        <v>54.4</v>
      </c>
      <c r="E97" s="102">
        <v>0.02</v>
      </c>
      <c r="F97" s="85">
        <v>4.5999999999999996</v>
      </c>
      <c r="G97" s="85">
        <v>10</v>
      </c>
    </row>
    <row r="98" spans="2:43">
      <c r="B98" s="49" t="s">
        <v>283</v>
      </c>
      <c r="C98" s="102">
        <v>1</v>
      </c>
      <c r="D98" s="102">
        <v>39.9</v>
      </c>
      <c r="E98" s="102">
        <v>0.02</v>
      </c>
      <c r="F98" s="85">
        <v>4.7</v>
      </c>
      <c r="G98" s="85">
        <v>10</v>
      </c>
    </row>
    <row r="99" spans="2:43">
      <c r="B99" s="1" t="s">
        <v>300</v>
      </c>
    </row>
    <row r="100" spans="2:43">
      <c r="B100" s="1"/>
    </row>
    <row r="101" spans="2:43" ht="22.5">
      <c r="B101" s="158" t="s">
        <v>176</v>
      </c>
      <c r="C101" s="153">
        <v>2021</v>
      </c>
      <c r="D101" s="153">
        <v>2022</v>
      </c>
      <c r="E101" s="153">
        <v>2023</v>
      </c>
      <c r="F101" s="153">
        <v>2024</v>
      </c>
      <c r="G101" s="153">
        <v>2025</v>
      </c>
      <c r="H101" s="153">
        <v>2026</v>
      </c>
      <c r="I101" s="153">
        <v>2027</v>
      </c>
      <c r="J101" s="153">
        <v>2028</v>
      </c>
      <c r="K101" s="153">
        <v>2029</v>
      </c>
      <c r="L101" s="153">
        <v>2030</v>
      </c>
      <c r="M101" s="153">
        <v>2031</v>
      </c>
      <c r="N101" s="153">
        <v>2032</v>
      </c>
      <c r="O101" s="153">
        <v>2033</v>
      </c>
      <c r="P101" s="153">
        <v>2034</v>
      </c>
      <c r="Q101" s="153">
        <v>2035</v>
      </c>
      <c r="R101" s="153">
        <v>2036</v>
      </c>
      <c r="S101" s="153">
        <v>2037</v>
      </c>
      <c r="T101" s="153">
        <v>2038</v>
      </c>
      <c r="U101" s="153">
        <v>2039</v>
      </c>
      <c r="V101" s="153">
        <v>2040</v>
      </c>
      <c r="W101" s="153">
        <v>2041</v>
      </c>
      <c r="X101" s="153">
        <v>2042</v>
      </c>
      <c r="Y101" s="153">
        <v>2043</v>
      </c>
      <c r="Z101" s="153">
        <v>2044</v>
      </c>
      <c r="AA101" s="153">
        <v>2045</v>
      </c>
      <c r="AB101" s="153">
        <v>2046</v>
      </c>
      <c r="AC101" s="153">
        <v>2047</v>
      </c>
      <c r="AD101" s="153">
        <v>2048</v>
      </c>
      <c r="AE101" s="153">
        <v>2049</v>
      </c>
      <c r="AF101" s="153">
        <v>2050</v>
      </c>
      <c r="AG101" s="153">
        <v>2051</v>
      </c>
      <c r="AH101" s="153">
        <v>2052</v>
      </c>
      <c r="AI101" s="153">
        <v>2053</v>
      </c>
      <c r="AJ101" s="153">
        <v>2054</v>
      </c>
      <c r="AK101" s="153">
        <v>2055</v>
      </c>
      <c r="AL101" s="153">
        <v>2056</v>
      </c>
      <c r="AM101" s="153">
        <v>2057</v>
      </c>
      <c r="AN101" s="153">
        <v>2058</v>
      </c>
      <c r="AO101" s="153">
        <v>2059</v>
      </c>
      <c r="AP101" s="153">
        <v>2060</v>
      </c>
    </row>
    <row r="102" spans="2:43">
      <c r="B102" s="48" t="s">
        <v>177</v>
      </c>
      <c r="C102" s="106">
        <v>67.099999999999994</v>
      </c>
      <c r="D102" s="106">
        <f t="shared" ref="D102:AP102" si="10">ROUND(C102*(1+(0.7*D42)),2)</f>
        <v>67.88</v>
      </c>
      <c r="E102" s="106">
        <f t="shared" si="10"/>
        <v>68.47</v>
      </c>
      <c r="F102" s="106">
        <f t="shared" si="10"/>
        <v>69.069999999999993</v>
      </c>
      <c r="G102" s="106">
        <f t="shared" si="10"/>
        <v>70.59</v>
      </c>
      <c r="H102" s="106">
        <f t="shared" si="10"/>
        <v>71.64</v>
      </c>
      <c r="I102" s="106">
        <f t="shared" si="10"/>
        <v>72.69</v>
      </c>
      <c r="J102" s="106">
        <f t="shared" si="10"/>
        <v>73.56</v>
      </c>
      <c r="K102" s="106">
        <f t="shared" si="10"/>
        <v>74.44</v>
      </c>
      <c r="L102" s="106">
        <f t="shared" si="10"/>
        <v>75.33</v>
      </c>
      <c r="M102" s="106">
        <f t="shared" si="10"/>
        <v>75.959999999999994</v>
      </c>
      <c r="N102" s="106">
        <f t="shared" si="10"/>
        <v>76.599999999999994</v>
      </c>
      <c r="O102" s="106">
        <f t="shared" si="10"/>
        <v>77.239999999999995</v>
      </c>
      <c r="P102" s="106">
        <f t="shared" si="10"/>
        <v>77.89</v>
      </c>
      <c r="Q102" s="106">
        <f t="shared" si="10"/>
        <v>78.540000000000006</v>
      </c>
      <c r="R102" s="106">
        <f t="shared" si="10"/>
        <v>79.2</v>
      </c>
      <c r="S102" s="106">
        <f t="shared" si="10"/>
        <v>79.87</v>
      </c>
      <c r="T102" s="106">
        <f t="shared" si="10"/>
        <v>80.540000000000006</v>
      </c>
      <c r="U102" s="106">
        <f t="shared" si="10"/>
        <v>81.22</v>
      </c>
      <c r="V102" s="106">
        <f t="shared" si="10"/>
        <v>81.900000000000006</v>
      </c>
      <c r="W102" s="106">
        <f t="shared" si="10"/>
        <v>82.47</v>
      </c>
      <c r="X102" s="106">
        <f t="shared" si="10"/>
        <v>83.05</v>
      </c>
      <c r="Y102" s="106">
        <f t="shared" si="10"/>
        <v>83.63</v>
      </c>
      <c r="Z102" s="106">
        <f t="shared" si="10"/>
        <v>84.22</v>
      </c>
      <c r="AA102" s="106">
        <f t="shared" si="10"/>
        <v>84.81</v>
      </c>
      <c r="AB102" s="106">
        <f t="shared" si="10"/>
        <v>85.4</v>
      </c>
      <c r="AC102" s="106">
        <f t="shared" si="10"/>
        <v>86</v>
      </c>
      <c r="AD102" s="106">
        <f t="shared" si="10"/>
        <v>86.6</v>
      </c>
      <c r="AE102" s="106">
        <f t="shared" si="10"/>
        <v>87.21</v>
      </c>
      <c r="AF102" s="106">
        <f t="shared" si="10"/>
        <v>87.82</v>
      </c>
      <c r="AG102" s="106">
        <f t="shared" si="10"/>
        <v>88.62</v>
      </c>
      <c r="AH102" s="106">
        <f t="shared" si="10"/>
        <v>89.43</v>
      </c>
      <c r="AI102" s="106">
        <f t="shared" si="10"/>
        <v>90.24</v>
      </c>
      <c r="AJ102" s="106">
        <f t="shared" si="10"/>
        <v>91.06</v>
      </c>
      <c r="AK102" s="106">
        <f t="shared" si="10"/>
        <v>91.89</v>
      </c>
      <c r="AL102" s="106">
        <f t="shared" si="10"/>
        <v>92.73</v>
      </c>
      <c r="AM102" s="106">
        <f t="shared" si="10"/>
        <v>93.57</v>
      </c>
      <c r="AN102" s="106">
        <f t="shared" si="10"/>
        <v>94.42</v>
      </c>
      <c r="AO102" s="106">
        <f t="shared" si="10"/>
        <v>95.28</v>
      </c>
      <c r="AP102" s="106">
        <f t="shared" si="10"/>
        <v>96.15</v>
      </c>
      <c r="AQ102" s="118"/>
    </row>
    <row r="103" spans="2:43">
      <c r="B103" s="48" t="s">
        <v>178</v>
      </c>
      <c r="C103" s="106">
        <v>119.4</v>
      </c>
      <c r="D103" s="106">
        <f t="shared" ref="D103:AP103" si="11">ROUND(C103*(1+(0.7*D42)),2)</f>
        <v>120.79</v>
      </c>
      <c r="E103" s="106">
        <f t="shared" si="11"/>
        <v>121.84</v>
      </c>
      <c r="F103" s="106">
        <f t="shared" si="11"/>
        <v>122.91</v>
      </c>
      <c r="G103" s="106">
        <f t="shared" si="11"/>
        <v>125.62</v>
      </c>
      <c r="H103" s="106">
        <f t="shared" si="11"/>
        <v>127.49</v>
      </c>
      <c r="I103" s="106">
        <f t="shared" si="11"/>
        <v>129.35</v>
      </c>
      <c r="J103" s="106">
        <f t="shared" si="11"/>
        <v>130.88999999999999</v>
      </c>
      <c r="K103" s="106">
        <f t="shared" si="11"/>
        <v>132.44999999999999</v>
      </c>
      <c r="L103" s="106">
        <f t="shared" si="11"/>
        <v>134.03</v>
      </c>
      <c r="M103" s="106">
        <f t="shared" si="11"/>
        <v>135.16</v>
      </c>
      <c r="N103" s="106">
        <f t="shared" si="11"/>
        <v>136.30000000000001</v>
      </c>
      <c r="O103" s="106">
        <f t="shared" si="11"/>
        <v>137.44</v>
      </c>
      <c r="P103" s="106">
        <f t="shared" si="11"/>
        <v>138.59</v>
      </c>
      <c r="Q103" s="106">
        <f t="shared" si="11"/>
        <v>139.75</v>
      </c>
      <c r="R103" s="106">
        <f t="shared" si="11"/>
        <v>140.91999999999999</v>
      </c>
      <c r="S103" s="106">
        <f t="shared" si="11"/>
        <v>142.1</v>
      </c>
      <c r="T103" s="106">
        <f t="shared" si="11"/>
        <v>143.29</v>
      </c>
      <c r="U103" s="106">
        <f t="shared" si="11"/>
        <v>144.49</v>
      </c>
      <c r="V103" s="106">
        <f t="shared" si="11"/>
        <v>145.69999999999999</v>
      </c>
      <c r="W103" s="106">
        <f t="shared" si="11"/>
        <v>146.72</v>
      </c>
      <c r="X103" s="106">
        <f t="shared" si="11"/>
        <v>147.75</v>
      </c>
      <c r="Y103" s="106">
        <f t="shared" si="11"/>
        <v>148.78</v>
      </c>
      <c r="Z103" s="106">
        <f t="shared" si="11"/>
        <v>149.82</v>
      </c>
      <c r="AA103" s="106">
        <f t="shared" si="11"/>
        <v>150.87</v>
      </c>
      <c r="AB103" s="106">
        <f t="shared" si="11"/>
        <v>151.93</v>
      </c>
      <c r="AC103" s="106">
        <f t="shared" si="11"/>
        <v>152.99</v>
      </c>
      <c r="AD103" s="106">
        <f t="shared" si="11"/>
        <v>154.06</v>
      </c>
      <c r="AE103" s="106">
        <f t="shared" si="11"/>
        <v>155.13999999999999</v>
      </c>
      <c r="AF103" s="106">
        <f t="shared" si="11"/>
        <v>156.22999999999999</v>
      </c>
      <c r="AG103" s="106">
        <f t="shared" si="11"/>
        <v>157.65</v>
      </c>
      <c r="AH103" s="106">
        <f t="shared" si="11"/>
        <v>159.08000000000001</v>
      </c>
      <c r="AI103" s="106">
        <f t="shared" si="11"/>
        <v>160.53</v>
      </c>
      <c r="AJ103" s="106">
        <f t="shared" si="11"/>
        <v>161.99</v>
      </c>
      <c r="AK103" s="106">
        <f t="shared" si="11"/>
        <v>163.46</v>
      </c>
      <c r="AL103" s="106">
        <f t="shared" si="11"/>
        <v>164.95</v>
      </c>
      <c r="AM103" s="106">
        <f t="shared" si="11"/>
        <v>166.45</v>
      </c>
      <c r="AN103" s="106">
        <f t="shared" si="11"/>
        <v>167.96</v>
      </c>
      <c r="AO103" s="106">
        <f t="shared" si="11"/>
        <v>169.49</v>
      </c>
      <c r="AP103" s="106">
        <f t="shared" si="11"/>
        <v>171.03</v>
      </c>
      <c r="AQ103" s="118"/>
    </row>
    <row r="104" spans="2:43">
      <c r="B104" s="48" t="s">
        <v>183</v>
      </c>
      <c r="C104" s="106">
        <v>16.7</v>
      </c>
      <c r="D104" s="106">
        <f t="shared" ref="D104:AP104" si="12">ROUND(C104*(1+(0.7*D42)),2)</f>
        <v>16.899999999999999</v>
      </c>
      <c r="E104" s="106">
        <f t="shared" si="12"/>
        <v>17.05</v>
      </c>
      <c r="F104" s="106">
        <f t="shared" si="12"/>
        <v>17.2</v>
      </c>
      <c r="G104" s="106">
        <f t="shared" si="12"/>
        <v>17.579999999999998</v>
      </c>
      <c r="H104" s="106">
        <f t="shared" si="12"/>
        <v>17.84</v>
      </c>
      <c r="I104" s="106">
        <f t="shared" si="12"/>
        <v>18.100000000000001</v>
      </c>
      <c r="J104" s="106">
        <f t="shared" si="12"/>
        <v>18.32</v>
      </c>
      <c r="K104" s="106">
        <f t="shared" si="12"/>
        <v>18.54</v>
      </c>
      <c r="L104" s="106">
        <f t="shared" si="12"/>
        <v>18.760000000000002</v>
      </c>
      <c r="M104" s="106">
        <f t="shared" si="12"/>
        <v>18.920000000000002</v>
      </c>
      <c r="N104" s="106">
        <f t="shared" si="12"/>
        <v>19.079999999999998</v>
      </c>
      <c r="O104" s="106">
        <f t="shared" si="12"/>
        <v>19.239999999999998</v>
      </c>
      <c r="P104" s="106">
        <f t="shared" si="12"/>
        <v>19.399999999999999</v>
      </c>
      <c r="Q104" s="106">
        <f t="shared" si="12"/>
        <v>19.559999999999999</v>
      </c>
      <c r="R104" s="106">
        <f t="shared" si="12"/>
        <v>19.72</v>
      </c>
      <c r="S104" s="106">
        <f t="shared" si="12"/>
        <v>19.89</v>
      </c>
      <c r="T104" s="106">
        <f t="shared" si="12"/>
        <v>20.059999999999999</v>
      </c>
      <c r="U104" s="106">
        <f t="shared" si="12"/>
        <v>20.23</v>
      </c>
      <c r="V104" s="106">
        <f t="shared" si="12"/>
        <v>20.399999999999999</v>
      </c>
      <c r="W104" s="106">
        <f t="shared" si="12"/>
        <v>20.54</v>
      </c>
      <c r="X104" s="106">
        <f t="shared" si="12"/>
        <v>20.68</v>
      </c>
      <c r="Y104" s="106">
        <f t="shared" si="12"/>
        <v>20.82</v>
      </c>
      <c r="Z104" s="106">
        <f t="shared" si="12"/>
        <v>20.97</v>
      </c>
      <c r="AA104" s="106">
        <f t="shared" si="12"/>
        <v>21.12</v>
      </c>
      <c r="AB104" s="106">
        <f t="shared" si="12"/>
        <v>21.27</v>
      </c>
      <c r="AC104" s="106">
        <f t="shared" si="12"/>
        <v>21.42</v>
      </c>
      <c r="AD104" s="106">
        <f t="shared" si="12"/>
        <v>21.57</v>
      </c>
      <c r="AE104" s="106">
        <f t="shared" si="12"/>
        <v>21.72</v>
      </c>
      <c r="AF104" s="106">
        <f t="shared" si="12"/>
        <v>21.87</v>
      </c>
      <c r="AG104" s="106">
        <f t="shared" si="12"/>
        <v>22.07</v>
      </c>
      <c r="AH104" s="106">
        <f t="shared" si="12"/>
        <v>22.27</v>
      </c>
      <c r="AI104" s="106">
        <f t="shared" si="12"/>
        <v>22.47</v>
      </c>
      <c r="AJ104" s="106">
        <f t="shared" si="12"/>
        <v>22.67</v>
      </c>
      <c r="AK104" s="106">
        <f t="shared" si="12"/>
        <v>22.88</v>
      </c>
      <c r="AL104" s="106">
        <f t="shared" si="12"/>
        <v>23.09</v>
      </c>
      <c r="AM104" s="106">
        <f t="shared" si="12"/>
        <v>23.3</v>
      </c>
      <c r="AN104" s="106">
        <f t="shared" si="12"/>
        <v>23.51</v>
      </c>
      <c r="AO104" s="106">
        <f t="shared" si="12"/>
        <v>23.72</v>
      </c>
      <c r="AP104" s="106">
        <f t="shared" si="12"/>
        <v>23.94</v>
      </c>
      <c r="AQ104" s="118"/>
    </row>
    <row r="105" spans="2:43">
      <c r="B105" s="48" t="s">
        <v>182</v>
      </c>
      <c r="C105" s="106">
        <v>28.2</v>
      </c>
      <c r="D105" s="106">
        <f>ROUND(C105*(1+(0.7*D42)),2)</f>
        <v>28.53</v>
      </c>
      <c r="E105" s="106">
        <f t="shared" ref="E105:AP105" si="13">ROUND(D105*(1+(0.7*E42)),2)</f>
        <v>28.78</v>
      </c>
      <c r="F105" s="106">
        <f t="shared" si="13"/>
        <v>29.03</v>
      </c>
      <c r="G105" s="106">
        <f t="shared" si="13"/>
        <v>29.67</v>
      </c>
      <c r="H105" s="106">
        <f t="shared" si="13"/>
        <v>30.11</v>
      </c>
      <c r="I105" s="106">
        <f t="shared" si="13"/>
        <v>30.55</v>
      </c>
      <c r="J105" s="106">
        <f t="shared" si="13"/>
        <v>30.91</v>
      </c>
      <c r="K105" s="106">
        <f t="shared" si="13"/>
        <v>31.28</v>
      </c>
      <c r="L105" s="106">
        <f t="shared" si="13"/>
        <v>31.65</v>
      </c>
      <c r="M105" s="106">
        <f t="shared" si="13"/>
        <v>31.92</v>
      </c>
      <c r="N105" s="106">
        <f t="shared" si="13"/>
        <v>32.19</v>
      </c>
      <c r="O105" s="106">
        <f t="shared" si="13"/>
        <v>32.46</v>
      </c>
      <c r="P105" s="106">
        <f t="shared" si="13"/>
        <v>32.729999999999997</v>
      </c>
      <c r="Q105" s="106">
        <f t="shared" si="13"/>
        <v>33</v>
      </c>
      <c r="R105" s="106">
        <f t="shared" si="13"/>
        <v>33.28</v>
      </c>
      <c r="S105" s="106">
        <f t="shared" si="13"/>
        <v>33.56</v>
      </c>
      <c r="T105" s="106">
        <f t="shared" si="13"/>
        <v>33.840000000000003</v>
      </c>
      <c r="U105" s="106">
        <f t="shared" si="13"/>
        <v>34.119999999999997</v>
      </c>
      <c r="V105" s="106">
        <f t="shared" si="13"/>
        <v>34.409999999999997</v>
      </c>
      <c r="W105" s="106">
        <f t="shared" si="13"/>
        <v>34.65</v>
      </c>
      <c r="X105" s="106">
        <f t="shared" si="13"/>
        <v>34.89</v>
      </c>
      <c r="Y105" s="106">
        <f t="shared" si="13"/>
        <v>35.130000000000003</v>
      </c>
      <c r="Z105" s="106">
        <f t="shared" si="13"/>
        <v>35.380000000000003</v>
      </c>
      <c r="AA105" s="106">
        <f t="shared" si="13"/>
        <v>35.630000000000003</v>
      </c>
      <c r="AB105" s="106">
        <f t="shared" si="13"/>
        <v>35.880000000000003</v>
      </c>
      <c r="AC105" s="106">
        <f t="shared" si="13"/>
        <v>36.130000000000003</v>
      </c>
      <c r="AD105" s="106">
        <f t="shared" si="13"/>
        <v>36.380000000000003</v>
      </c>
      <c r="AE105" s="106">
        <f t="shared" si="13"/>
        <v>36.630000000000003</v>
      </c>
      <c r="AF105" s="106">
        <f t="shared" si="13"/>
        <v>36.89</v>
      </c>
      <c r="AG105" s="106">
        <f t="shared" si="13"/>
        <v>37.229999999999997</v>
      </c>
      <c r="AH105" s="106">
        <f t="shared" si="13"/>
        <v>37.57</v>
      </c>
      <c r="AI105" s="106">
        <f t="shared" si="13"/>
        <v>37.909999999999997</v>
      </c>
      <c r="AJ105" s="106">
        <f t="shared" si="13"/>
        <v>38.25</v>
      </c>
      <c r="AK105" s="106">
        <f t="shared" si="13"/>
        <v>38.6</v>
      </c>
      <c r="AL105" s="106">
        <f t="shared" si="13"/>
        <v>38.950000000000003</v>
      </c>
      <c r="AM105" s="106">
        <f t="shared" si="13"/>
        <v>39.299999999999997</v>
      </c>
      <c r="AN105" s="106">
        <f t="shared" si="13"/>
        <v>39.659999999999997</v>
      </c>
      <c r="AO105" s="106">
        <f t="shared" si="13"/>
        <v>40.020000000000003</v>
      </c>
      <c r="AP105" s="106">
        <f t="shared" si="13"/>
        <v>40.380000000000003</v>
      </c>
      <c r="AQ105" s="118"/>
    </row>
    <row r="106" spans="2:43">
      <c r="B106" s="48" t="s">
        <v>181</v>
      </c>
      <c r="C106" s="106">
        <v>11.5</v>
      </c>
      <c r="D106" s="106">
        <f t="shared" ref="D106:AP106" si="14">ROUND(C106*(1+(0.7*D42)),2)</f>
        <v>11.63</v>
      </c>
      <c r="E106" s="106">
        <f t="shared" si="14"/>
        <v>11.73</v>
      </c>
      <c r="F106" s="106">
        <f t="shared" si="14"/>
        <v>11.83</v>
      </c>
      <c r="G106" s="106">
        <f t="shared" si="14"/>
        <v>12.09</v>
      </c>
      <c r="H106" s="106">
        <f t="shared" si="14"/>
        <v>12.27</v>
      </c>
      <c r="I106" s="106">
        <f t="shared" si="14"/>
        <v>12.45</v>
      </c>
      <c r="J106" s="106">
        <f t="shared" si="14"/>
        <v>12.6</v>
      </c>
      <c r="K106" s="106">
        <f t="shared" si="14"/>
        <v>12.75</v>
      </c>
      <c r="L106" s="106">
        <f t="shared" si="14"/>
        <v>12.9</v>
      </c>
      <c r="M106" s="106">
        <f t="shared" si="14"/>
        <v>13.01</v>
      </c>
      <c r="N106" s="106">
        <f t="shared" si="14"/>
        <v>13.12</v>
      </c>
      <c r="O106" s="106">
        <f t="shared" si="14"/>
        <v>13.23</v>
      </c>
      <c r="P106" s="106">
        <f t="shared" si="14"/>
        <v>13.34</v>
      </c>
      <c r="Q106" s="106">
        <f t="shared" si="14"/>
        <v>13.45</v>
      </c>
      <c r="R106" s="106">
        <f t="shared" si="14"/>
        <v>13.56</v>
      </c>
      <c r="S106" s="106">
        <f t="shared" si="14"/>
        <v>13.67</v>
      </c>
      <c r="T106" s="106">
        <f t="shared" si="14"/>
        <v>13.78</v>
      </c>
      <c r="U106" s="106">
        <f t="shared" si="14"/>
        <v>13.9</v>
      </c>
      <c r="V106" s="106">
        <f t="shared" si="14"/>
        <v>14.02</v>
      </c>
      <c r="W106" s="106">
        <f t="shared" si="14"/>
        <v>14.12</v>
      </c>
      <c r="X106" s="106">
        <f t="shared" si="14"/>
        <v>14.22</v>
      </c>
      <c r="Y106" s="106">
        <f t="shared" si="14"/>
        <v>14.32</v>
      </c>
      <c r="Z106" s="106">
        <f t="shared" si="14"/>
        <v>14.42</v>
      </c>
      <c r="AA106" s="106">
        <f t="shared" si="14"/>
        <v>14.52</v>
      </c>
      <c r="AB106" s="106">
        <f t="shared" si="14"/>
        <v>14.62</v>
      </c>
      <c r="AC106" s="106">
        <f t="shared" si="14"/>
        <v>14.72</v>
      </c>
      <c r="AD106" s="106">
        <f t="shared" si="14"/>
        <v>14.82</v>
      </c>
      <c r="AE106" s="106">
        <f t="shared" si="14"/>
        <v>14.92</v>
      </c>
      <c r="AF106" s="106">
        <f t="shared" si="14"/>
        <v>15.02</v>
      </c>
      <c r="AG106" s="106">
        <f t="shared" si="14"/>
        <v>15.16</v>
      </c>
      <c r="AH106" s="106">
        <f t="shared" si="14"/>
        <v>15.3</v>
      </c>
      <c r="AI106" s="106">
        <f t="shared" si="14"/>
        <v>15.44</v>
      </c>
      <c r="AJ106" s="106">
        <f t="shared" si="14"/>
        <v>15.58</v>
      </c>
      <c r="AK106" s="106">
        <f t="shared" si="14"/>
        <v>15.72</v>
      </c>
      <c r="AL106" s="106">
        <f t="shared" si="14"/>
        <v>15.86</v>
      </c>
      <c r="AM106" s="106">
        <f t="shared" si="14"/>
        <v>16</v>
      </c>
      <c r="AN106" s="106">
        <f t="shared" si="14"/>
        <v>16.149999999999999</v>
      </c>
      <c r="AO106" s="106">
        <f t="shared" si="14"/>
        <v>16.3</v>
      </c>
      <c r="AP106" s="106">
        <f t="shared" si="14"/>
        <v>16.45</v>
      </c>
      <c r="AQ106" s="118"/>
    </row>
    <row r="107" spans="2:43">
      <c r="B107" s="48" t="s">
        <v>179</v>
      </c>
      <c r="C107" s="106">
        <v>0.8</v>
      </c>
      <c r="D107" s="106">
        <f t="shared" ref="D107:AP107" si="15">ROUND(C107*(1+(0.7*D42)),2)</f>
        <v>0.81</v>
      </c>
      <c r="E107" s="106">
        <f t="shared" si="15"/>
        <v>0.82</v>
      </c>
      <c r="F107" s="106">
        <f t="shared" si="15"/>
        <v>0.83</v>
      </c>
      <c r="G107" s="106">
        <f t="shared" si="15"/>
        <v>0.85</v>
      </c>
      <c r="H107" s="106">
        <f t="shared" si="15"/>
        <v>0.86</v>
      </c>
      <c r="I107" s="106">
        <f t="shared" si="15"/>
        <v>0.87</v>
      </c>
      <c r="J107" s="106">
        <f t="shared" si="15"/>
        <v>0.88</v>
      </c>
      <c r="K107" s="106">
        <f t="shared" si="15"/>
        <v>0.89</v>
      </c>
      <c r="L107" s="106">
        <f t="shared" si="15"/>
        <v>0.9</v>
      </c>
      <c r="M107" s="106">
        <f t="shared" si="15"/>
        <v>0.91</v>
      </c>
      <c r="N107" s="106">
        <f t="shared" si="15"/>
        <v>0.92</v>
      </c>
      <c r="O107" s="106">
        <f t="shared" si="15"/>
        <v>0.93</v>
      </c>
      <c r="P107" s="106">
        <f t="shared" si="15"/>
        <v>0.94</v>
      </c>
      <c r="Q107" s="106">
        <f t="shared" si="15"/>
        <v>0.95</v>
      </c>
      <c r="R107" s="106">
        <f t="shared" si="15"/>
        <v>0.96</v>
      </c>
      <c r="S107" s="106">
        <f t="shared" si="15"/>
        <v>0.97</v>
      </c>
      <c r="T107" s="106">
        <f t="shared" si="15"/>
        <v>0.98</v>
      </c>
      <c r="U107" s="106">
        <f t="shared" si="15"/>
        <v>0.99</v>
      </c>
      <c r="V107" s="106">
        <f t="shared" si="15"/>
        <v>1</v>
      </c>
      <c r="W107" s="106">
        <f t="shared" si="15"/>
        <v>1.01</v>
      </c>
      <c r="X107" s="106">
        <f t="shared" si="15"/>
        <v>1.02</v>
      </c>
      <c r="Y107" s="106">
        <f t="shared" si="15"/>
        <v>1.03</v>
      </c>
      <c r="Z107" s="106">
        <f t="shared" si="15"/>
        <v>1.04</v>
      </c>
      <c r="AA107" s="106">
        <f t="shared" si="15"/>
        <v>1.05</v>
      </c>
      <c r="AB107" s="106">
        <f t="shared" si="15"/>
        <v>1.06</v>
      </c>
      <c r="AC107" s="106">
        <f t="shared" si="15"/>
        <v>1.07</v>
      </c>
      <c r="AD107" s="106">
        <f t="shared" si="15"/>
        <v>1.08</v>
      </c>
      <c r="AE107" s="106">
        <f t="shared" si="15"/>
        <v>1.0900000000000001</v>
      </c>
      <c r="AF107" s="106">
        <f t="shared" si="15"/>
        <v>1.1000000000000001</v>
      </c>
      <c r="AG107" s="106">
        <f t="shared" si="15"/>
        <v>1.1100000000000001</v>
      </c>
      <c r="AH107" s="106">
        <f t="shared" si="15"/>
        <v>1.1200000000000001</v>
      </c>
      <c r="AI107" s="106">
        <f t="shared" si="15"/>
        <v>1.1299999999999999</v>
      </c>
      <c r="AJ107" s="106">
        <f t="shared" si="15"/>
        <v>1.1399999999999999</v>
      </c>
      <c r="AK107" s="106">
        <f t="shared" si="15"/>
        <v>1.1499999999999999</v>
      </c>
      <c r="AL107" s="106">
        <f t="shared" si="15"/>
        <v>1.1599999999999999</v>
      </c>
      <c r="AM107" s="106">
        <f t="shared" si="15"/>
        <v>1.17</v>
      </c>
      <c r="AN107" s="106">
        <f t="shared" si="15"/>
        <v>1.18</v>
      </c>
      <c r="AO107" s="106">
        <f t="shared" si="15"/>
        <v>1.19</v>
      </c>
      <c r="AP107" s="106">
        <f t="shared" si="15"/>
        <v>1.2</v>
      </c>
      <c r="AQ107" s="118"/>
    </row>
    <row r="108" spans="2:43">
      <c r="B108" s="48" t="s">
        <v>180</v>
      </c>
      <c r="C108" s="106">
        <v>27.7</v>
      </c>
      <c r="D108" s="106">
        <f t="shared" ref="D108:AP108" si="16">ROUND(C108*(1+(0.7*D42)),2)</f>
        <v>28.02</v>
      </c>
      <c r="E108" s="106">
        <f t="shared" si="16"/>
        <v>28.26</v>
      </c>
      <c r="F108" s="106">
        <f t="shared" si="16"/>
        <v>28.51</v>
      </c>
      <c r="G108" s="106">
        <f t="shared" si="16"/>
        <v>29.14</v>
      </c>
      <c r="H108" s="106">
        <f t="shared" si="16"/>
        <v>29.57</v>
      </c>
      <c r="I108" s="106">
        <f t="shared" si="16"/>
        <v>30</v>
      </c>
      <c r="J108" s="106">
        <f t="shared" si="16"/>
        <v>30.36</v>
      </c>
      <c r="K108" s="106">
        <f t="shared" si="16"/>
        <v>30.72</v>
      </c>
      <c r="L108" s="106">
        <f t="shared" si="16"/>
        <v>31.09</v>
      </c>
      <c r="M108" s="106">
        <f t="shared" si="16"/>
        <v>31.35</v>
      </c>
      <c r="N108" s="106">
        <f t="shared" si="16"/>
        <v>31.61</v>
      </c>
      <c r="O108" s="106">
        <f t="shared" si="16"/>
        <v>31.88</v>
      </c>
      <c r="P108" s="106">
        <f t="shared" si="16"/>
        <v>32.15</v>
      </c>
      <c r="Q108" s="106">
        <f t="shared" si="16"/>
        <v>32.42</v>
      </c>
      <c r="R108" s="106">
        <f t="shared" si="16"/>
        <v>32.69</v>
      </c>
      <c r="S108" s="106">
        <f t="shared" si="16"/>
        <v>32.96</v>
      </c>
      <c r="T108" s="106">
        <f t="shared" si="16"/>
        <v>33.24</v>
      </c>
      <c r="U108" s="106">
        <f t="shared" si="16"/>
        <v>33.520000000000003</v>
      </c>
      <c r="V108" s="106">
        <f t="shared" si="16"/>
        <v>33.799999999999997</v>
      </c>
      <c r="W108" s="106">
        <f t="shared" si="16"/>
        <v>34.04</v>
      </c>
      <c r="X108" s="106">
        <f t="shared" si="16"/>
        <v>34.28</v>
      </c>
      <c r="Y108" s="106">
        <f t="shared" si="16"/>
        <v>34.520000000000003</v>
      </c>
      <c r="Z108" s="106">
        <f t="shared" si="16"/>
        <v>34.76</v>
      </c>
      <c r="AA108" s="106">
        <f t="shared" si="16"/>
        <v>35</v>
      </c>
      <c r="AB108" s="106">
        <f t="shared" si="16"/>
        <v>35.25</v>
      </c>
      <c r="AC108" s="106">
        <f t="shared" si="16"/>
        <v>35.5</v>
      </c>
      <c r="AD108" s="106">
        <f t="shared" si="16"/>
        <v>35.75</v>
      </c>
      <c r="AE108" s="106">
        <f t="shared" si="16"/>
        <v>36</v>
      </c>
      <c r="AF108" s="106">
        <f t="shared" si="16"/>
        <v>36.25</v>
      </c>
      <c r="AG108" s="106">
        <f t="shared" si="16"/>
        <v>36.58</v>
      </c>
      <c r="AH108" s="106">
        <f t="shared" si="16"/>
        <v>36.909999999999997</v>
      </c>
      <c r="AI108" s="106">
        <f t="shared" si="16"/>
        <v>37.25</v>
      </c>
      <c r="AJ108" s="106">
        <f t="shared" si="16"/>
        <v>37.590000000000003</v>
      </c>
      <c r="AK108" s="106">
        <f t="shared" si="16"/>
        <v>37.93</v>
      </c>
      <c r="AL108" s="106">
        <f t="shared" si="16"/>
        <v>38.28</v>
      </c>
      <c r="AM108" s="106">
        <f t="shared" si="16"/>
        <v>38.630000000000003</v>
      </c>
      <c r="AN108" s="106">
        <f t="shared" si="16"/>
        <v>38.979999999999997</v>
      </c>
      <c r="AO108" s="106">
        <f t="shared" si="16"/>
        <v>39.33</v>
      </c>
      <c r="AP108" s="106">
        <f t="shared" si="16"/>
        <v>39.69</v>
      </c>
      <c r="AQ108" s="118"/>
    </row>
    <row r="109" spans="2:43">
      <c r="B109" s="1" t="s">
        <v>185</v>
      </c>
    </row>
    <row r="110" spans="2:43">
      <c r="B110" s="1"/>
    </row>
    <row r="111" spans="2:43" ht="16.5" customHeight="1">
      <c r="B111" s="158" t="s">
        <v>159</v>
      </c>
      <c r="C111" s="162" t="s">
        <v>162</v>
      </c>
      <c r="D111" s="162" t="s">
        <v>163</v>
      </c>
    </row>
    <row r="112" spans="2:43">
      <c r="B112" s="67" t="s">
        <v>130</v>
      </c>
      <c r="C112" s="80">
        <v>0.72</v>
      </c>
      <c r="D112" s="3" t="s">
        <v>161</v>
      </c>
    </row>
    <row r="113" spans="2:7">
      <c r="B113" s="45" t="s">
        <v>131</v>
      </c>
      <c r="C113" s="81">
        <v>0.82</v>
      </c>
      <c r="D113" s="3" t="s">
        <v>161</v>
      </c>
    </row>
    <row r="114" spans="2:7">
      <c r="B114" s="45" t="s">
        <v>160</v>
      </c>
      <c r="C114" s="81">
        <v>0.7</v>
      </c>
      <c r="D114" s="3" t="s">
        <v>164</v>
      </c>
    </row>
    <row r="115" spans="2:7">
      <c r="B115" s="1" t="s">
        <v>165</v>
      </c>
    </row>
    <row r="116" spans="2:7">
      <c r="B116" s="1"/>
    </row>
    <row r="117" spans="2:7" ht="16.5" customHeight="1">
      <c r="B117" s="864" t="s">
        <v>302</v>
      </c>
      <c r="C117" s="865"/>
      <c r="D117" s="865"/>
      <c r="E117" s="865"/>
      <c r="F117"/>
      <c r="G117"/>
    </row>
    <row r="118" spans="2:7" ht="12.75" customHeight="1">
      <c r="B118" s="160" t="s">
        <v>103</v>
      </c>
      <c r="C118" s="154" t="s">
        <v>303</v>
      </c>
      <c r="D118" s="154" t="s">
        <v>304</v>
      </c>
      <c r="E118" s="154" t="s">
        <v>305</v>
      </c>
      <c r="F118" s="110"/>
      <c r="G118" s="110"/>
    </row>
    <row r="119" spans="2:7">
      <c r="B119" s="49" t="s">
        <v>294</v>
      </c>
      <c r="C119" s="111">
        <v>3140</v>
      </c>
      <c r="D119" s="102">
        <v>0.182</v>
      </c>
      <c r="E119" s="102">
        <v>2.4E-2</v>
      </c>
      <c r="F119" s="109"/>
      <c r="G119" s="109"/>
    </row>
    <row r="120" spans="2:7">
      <c r="B120" s="101" t="s">
        <v>295</v>
      </c>
      <c r="C120" s="111">
        <v>3190</v>
      </c>
      <c r="D120" s="102">
        <v>0.17599999999999999</v>
      </c>
      <c r="E120" s="102">
        <v>2.4E-2</v>
      </c>
      <c r="F120" s="109"/>
      <c r="G120" s="109"/>
    </row>
    <row r="121" spans="2:7">
      <c r="B121" s="49" t="s">
        <v>283</v>
      </c>
      <c r="C121" s="111">
        <v>3140</v>
      </c>
      <c r="D121" s="102">
        <v>0.17899999999999999</v>
      </c>
      <c r="E121" s="102">
        <v>2.4E-2</v>
      </c>
      <c r="F121" s="109"/>
      <c r="G121" s="109"/>
    </row>
    <row r="122" spans="2:7">
      <c r="B122" s="114" t="s">
        <v>310</v>
      </c>
      <c r="C122" s="108"/>
      <c r="D122" s="108"/>
      <c r="E122" s="108"/>
      <c r="F122" s="109"/>
      <c r="G122" s="109"/>
    </row>
    <row r="123" spans="2:7">
      <c r="B123" s="107"/>
      <c r="C123" s="108"/>
      <c r="D123" s="108"/>
      <c r="E123" s="108"/>
      <c r="F123" s="109"/>
      <c r="G123" s="109"/>
    </row>
    <row r="124" spans="2:7" ht="17.25" customHeight="1">
      <c r="B124" s="877" t="s">
        <v>309</v>
      </c>
      <c r="C124" s="878"/>
      <c r="D124" s="879"/>
      <c r="E124" s="108"/>
      <c r="F124" s="109"/>
      <c r="G124" s="109"/>
    </row>
    <row r="125" spans="2:7" ht="22.5">
      <c r="B125" s="161" t="s">
        <v>306</v>
      </c>
      <c r="C125" s="154" t="s">
        <v>307</v>
      </c>
      <c r="D125" s="154" t="s">
        <v>308</v>
      </c>
      <c r="E125" s="108"/>
      <c r="F125" s="109"/>
      <c r="G125" s="109"/>
    </row>
    <row r="126" spans="2:7">
      <c r="B126" s="41">
        <v>206</v>
      </c>
      <c r="C126" s="138">
        <v>210</v>
      </c>
      <c r="D126" s="138">
        <v>216</v>
      </c>
      <c r="E126" s="108"/>
      <c r="F126" s="109"/>
      <c r="G126" s="109"/>
    </row>
    <row r="127" spans="2:7">
      <c r="B127" s="114" t="s">
        <v>311</v>
      </c>
      <c r="C127" s="108"/>
      <c r="D127" s="108"/>
      <c r="E127" s="108"/>
      <c r="F127" s="109"/>
      <c r="G127" s="109"/>
    </row>
    <row r="128" spans="2:7">
      <c r="B128" s="107"/>
      <c r="C128" s="108"/>
      <c r="D128" s="108"/>
      <c r="E128" s="108"/>
      <c r="F128" s="109"/>
      <c r="G128" s="109"/>
    </row>
    <row r="129" spans="2:43" ht="16.5" customHeight="1">
      <c r="B129" s="862" t="s">
        <v>312</v>
      </c>
      <c r="C129" s="863"/>
      <c r="D129" s="863"/>
      <c r="E129" s="863"/>
      <c r="F129" s="109"/>
      <c r="G129" s="109"/>
    </row>
    <row r="130" spans="2:43">
      <c r="B130" s="163"/>
      <c r="C130" s="154" t="s">
        <v>303</v>
      </c>
      <c r="D130" s="154" t="s">
        <v>304</v>
      </c>
      <c r="E130" s="154" t="s">
        <v>305</v>
      </c>
      <c r="F130" s="109"/>
      <c r="G130" s="109"/>
    </row>
    <row r="131" spans="2:43">
      <c r="B131" s="49" t="s">
        <v>192</v>
      </c>
      <c r="C131" s="111">
        <v>1</v>
      </c>
      <c r="D131" s="111">
        <v>25</v>
      </c>
      <c r="E131" s="111">
        <v>298</v>
      </c>
      <c r="F131" s="109"/>
      <c r="G131" s="109"/>
    </row>
    <row r="132" spans="2:43">
      <c r="B132" s="114" t="s">
        <v>193</v>
      </c>
      <c r="C132" s="108"/>
      <c r="D132" s="108"/>
      <c r="E132" s="108"/>
      <c r="F132" s="109"/>
      <c r="G132" s="109"/>
    </row>
    <row r="133" spans="2:43">
      <c r="B133" s="114"/>
      <c r="C133" s="108"/>
      <c r="D133" s="108"/>
      <c r="E133" s="108"/>
      <c r="F133" s="109"/>
      <c r="G133" s="109"/>
    </row>
    <row r="134" spans="2:43" ht="16.5" customHeight="1">
      <c r="B134" s="158" t="s">
        <v>194</v>
      </c>
      <c r="C134" s="153">
        <v>2021</v>
      </c>
      <c r="D134" s="153">
        <v>2022</v>
      </c>
      <c r="E134" s="153">
        <v>2023</v>
      </c>
      <c r="F134" s="153">
        <v>2024</v>
      </c>
      <c r="G134" s="153">
        <v>2025</v>
      </c>
      <c r="H134" s="153">
        <v>2026</v>
      </c>
      <c r="I134" s="153">
        <v>2027</v>
      </c>
      <c r="J134" s="153">
        <v>2028</v>
      </c>
      <c r="K134" s="153">
        <v>2029</v>
      </c>
      <c r="L134" s="153">
        <v>2030</v>
      </c>
      <c r="M134" s="153">
        <v>2031</v>
      </c>
      <c r="N134" s="153">
        <v>2032</v>
      </c>
      <c r="O134" s="153">
        <v>2033</v>
      </c>
      <c r="P134" s="153">
        <v>2034</v>
      </c>
      <c r="Q134" s="153">
        <v>2035</v>
      </c>
      <c r="R134" s="153">
        <v>2036</v>
      </c>
      <c r="S134" s="153">
        <v>2037</v>
      </c>
      <c r="T134" s="153">
        <v>2038</v>
      </c>
      <c r="U134" s="153">
        <v>2039</v>
      </c>
      <c r="V134" s="153">
        <v>2040</v>
      </c>
      <c r="W134" s="153">
        <v>2041</v>
      </c>
      <c r="X134" s="153">
        <v>2042</v>
      </c>
      <c r="Y134" s="153">
        <v>2043</v>
      </c>
      <c r="Z134" s="153">
        <v>2044</v>
      </c>
      <c r="AA134" s="153">
        <v>2045</v>
      </c>
      <c r="AB134" s="153">
        <v>2046</v>
      </c>
      <c r="AC134" s="153">
        <v>2047</v>
      </c>
      <c r="AD134" s="153">
        <v>2048</v>
      </c>
      <c r="AE134" s="153">
        <v>2049</v>
      </c>
      <c r="AF134" s="153">
        <v>2050</v>
      </c>
      <c r="AG134" s="153">
        <v>2051</v>
      </c>
      <c r="AH134" s="153">
        <v>2052</v>
      </c>
      <c r="AI134" s="153">
        <v>2053</v>
      </c>
      <c r="AJ134" s="153">
        <v>2054</v>
      </c>
      <c r="AK134" s="153">
        <v>2055</v>
      </c>
      <c r="AL134" s="153">
        <v>2056</v>
      </c>
      <c r="AM134" s="153">
        <v>2057</v>
      </c>
      <c r="AN134" s="153">
        <v>2058</v>
      </c>
      <c r="AO134" s="153">
        <v>2059</v>
      </c>
      <c r="AP134" s="153">
        <v>2060</v>
      </c>
    </row>
    <row r="135" spans="2:43">
      <c r="B135" s="49" t="s">
        <v>195</v>
      </c>
      <c r="C135" s="106">
        <f>86+(G135-86)/5</f>
        <v>112.94103929952117</v>
      </c>
      <c r="D135" s="106">
        <f>C135+(G135-86)/5</f>
        <v>139.88207859904233</v>
      </c>
      <c r="E135" s="106">
        <f>D135+(G135-86)/5</f>
        <v>166.82311789856348</v>
      </c>
      <c r="F135" s="106">
        <f>E135+(G135-86)/5</f>
        <v>193.76415719808463</v>
      </c>
      <c r="G135" s="164">
        <f>177/$C$27</f>
        <v>220.70519649760581</v>
      </c>
      <c r="H135" s="106">
        <f>G135+($L$135-$G$135)/5</f>
        <v>243.39917715442178</v>
      </c>
      <c r="I135" s="106">
        <f t="shared" ref="I135:K135" si="17">H135+($L$135-$G$135)/5</f>
        <v>266.09315781123775</v>
      </c>
      <c r="J135" s="106">
        <f t="shared" si="17"/>
        <v>288.78713846805368</v>
      </c>
      <c r="K135" s="106">
        <f t="shared" si="17"/>
        <v>311.48111912486962</v>
      </c>
      <c r="L135" s="164">
        <f>268/$C$27</f>
        <v>334.17509978168562</v>
      </c>
      <c r="M135" s="106">
        <f>L135+($Q$135-$L$135)/5</f>
        <v>371.58276020500864</v>
      </c>
      <c r="N135" s="106">
        <f t="shared" ref="N135:P135" si="18">M135+($Q$135-$L$135)/5</f>
        <v>408.99042062833166</v>
      </c>
      <c r="O135" s="106">
        <f t="shared" si="18"/>
        <v>446.39808105165469</v>
      </c>
      <c r="P135" s="106">
        <f t="shared" si="18"/>
        <v>483.80574147497771</v>
      </c>
      <c r="Q135" s="164">
        <f>418/$C$27</f>
        <v>521.21340189830073</v>
      </c>
      <c r="R135" s="106">
        <f>Q135+($V$135-$Q$135)/5</f>
        <v>557.37414030751302</v>
      </c>
      <c r="S135" s="106">
        <f t="shared" ref="S135:U135" si="19">R135+($V$135-$Q$135)/5</f>
        <v>593.5348787167253</v>
      </c>
      <c r="T135" s="106">
        <f t="shared" si="19"/>
        <v>629.69561712593759</v>
      </c>
      <c r="U135" s="106">
        <f t="shared" si="19"/>
        <v>665.85635553514987</v>
      </c>
      <c r="V135" s="164">
        <f>563/$C$27</f>
        <v>702.01709394436205</v>
      </c>
      <c r="W135" s="106">
        <f>V135+($AA$135-$V$135)/5</f>
        <v>738.17783235357433</v>
      </c>
      <c r="X135" s="106">
        <f t="shared" ref="X135:Z135" si="20">W135+($AA$135-$V$135)/5</f>
        <v>774.33857076278662</v>
      </c>
      <c r="Y135" s="106">
        <f t="shared" si="20"/>
        <v>810.4993091719989</v>
      </c>
      <c r="Z135" s="106">
        <f t="shared" si="20"/>
        <v>846.66004758121119</v>
      </c>
      <c r="AA135" s="164">
        <f>708/$C$27</f>
        <v>882.82078599042325</v>
      </c>
      <c r="AB135" s="106">
        <f>AA135+($AF$135-$AA$135)/5</f>
        <v>920.22844641374627</v>
      </c>
      <c r="AC135" s="106">
        <f t="shared" ref="AC135:AE135" si="21">AB135+($AF$135-$AA$135)/5</f>
        <v>957.63610683706929</v>
      </c>
      <c r="AD135" s="106">
        <f t="shared" si="21"/>
        <v>995.04376726039231</v>
      </c>
      <c r="AE135" s="106">
        <f t="shared" si="21"/>
        <v>1032.4514276837153</v>
      </c>
      <c r="AF135" s="164">
        <f>858/$C$27</f>
        <v>1069.8590881070384</v>
      </c>
      <c r="AG135" s="106">
        <f>AF135</f>
        <v>1069.8590881070384</v>
      </c>
      <c r="AH135" s="106">
        <f t="shared" ref="AH135:AP135" si="22">AG135</f>
        <v>1069.8590881070384</v>
      </c>
      <c r="AI135" s="106">
        <f t="shared" si="22"/>
        <v>1069.8590881070384</v>
      </c>
      <c r="AJ135" s="106">
        <f t="shared" si="22"/>
        <v>1069.8590881070384</v>
      </c>
      <c r="AK135" s="106">
        <f t="shared" si="22"/>
        <v>1069.8590881070384</v>
      </c>
      <c r="AL135" s="106">
        <f t="shared" si="22"/>
        <v>1069.8590881070384</v>
      </c>
      <c r="AM135" s="106">
        <f t="shared" si="22"/>
        <v>1069.8590881070384</v>
      </c>
      <c r="AN135" s="106">
        <f t="shared" si="22"/>
        <v>1069.8590881070384</v>
      </c>
      <c r="AO135" s="106">
        <f t="shared" si="22"/>
        <v>1069.8590881070384</v>
      </c>
      <c r="AP135" s="106">
        <f t="shared" si="22"/>
        <v>1069.8590881070384</v>
      </c>
      <c r="AQ135" s="116"/>
    </row>
    <row r="136" spans="2:43">
      <c r="B136" s="1" t="s">
        <v>440</v>
      </c>
      <c r="AQ136" s="72"/>
    </row>
    <row r="137" spans="2:43">
      <c r="AQ137" s="72"/>
    </row>
    <row r="138" spans="2:43" ht="22.5">
      <c r="B138" s="158" t="s">
        <v>196</v>
      </c>
      <c r="C138" s="153">
        <v>2021</v>
      </c>
      <c r="D138" s="153">
        <v>2022</v>
      </c>
      <c r="E138" s="153">
        <v>2023</v>
      </c>
      <c r="F138" s="153">
        <v>2024</v>
      </c>
      <c r="G138" s="153">
        <v>2025</v>
      </c>
      <c r="H138" s="153">
        <v>2026</v>
      </c>
      <c r="I138" s="153">
        <v>2027</v>
      </c>
      <c r="J138" s="153">
        <v>2028</v>
      </c>
      <c r="K138" s="153">
        <v>2029</v>
      </c>
      <c r="L138" s="153">
        <v>2030</v>
      </c>
      <c r="M138" s="153">
        <v>2031</v>
      </c>
      <c r="N138" s="153">
        <v>2032</v>
      </c>
      <c r="O138" s="153">
        <v>2033</v>
      </c>
      <c r="P138" s="153">
        <v>2034</v>
      </c>
      <c r="Q138" s="153">
        <v>2035</v>
      </c>
      <c r="R138" s="153">
        <v>2036</v>
      </c>
      <c r="S138" s="153">
        <v>2037</v>
      </c>
      <c r="T138" s="153">
        <v>2038</v>
      </c>
      <c r="U138" s="153">
        <v>2039</v>
      </c>
      <c r="V138" s="153">
        <v>2040</v>
      </c>
      <c r="W138" s="153">
        <v>2041</v>
      </c>
      <c r="X138" s="153">
        <v>2042</v>
      </c>
      <c r="Y138" s="153">
        <v>2043</v>
      </c>
      <c r="Z138" s="153">
        <v>2044</v>
      </c>
      <c r="AA138" s="153">
        <v>2045</v>
      </c>
      <c r="AB138" s="153">
        <v>2046</v>
      </c>
      <c r="AC138" s="153">
        <v>2047</v>
      </c>
      <c r="AD138" s="153">
        <v>2048</v>
      </c>
      <c r="AE138" s="153">
        <v>2049</v>
      </c>
      <c r="AF138" s="153">
        <v>2050</v>
      </c>
      <c r="AG138" s="153">
        <v>2051</v>
      </c>
      <c r="AH138" s="153">
        <v>2052</v>
      </c>
      <c r="AI138" s="153">
        <v>2053</v>
      </c>
      <c r="AJ138" s="153">
        <v>2054</v>
      </c>
      <c r="AK138" s="153">
        <v>2055</v>
      </c>
      <c r="AL138" s="153">
        <v>2056</v>
      </c>
      <c r="AM138" s="153">
        <v>2057</v>
      </c>
      <c r="AN138" s="153">
        <v>2058</v>
      </c>
      <c r="AO138" s="153">
        <v>2059</v>
      </c>
      <c r="AP138" s="153">
        <v>2060</v>
      </c>
      <c r="AQ138" s="72"/>
    </row>
    <row r="139" spans="2:43">
      <c r="B139" s="48" t="s">
        <v>313</v>
      </c>
      <c r="C139" s="115">
        <f>81.18*0.01</f>
        <v>0.81180000000000008</v>
      </c>
      <c r="D139" s="115">
        <f t="shared" ref="D139:AP139" si="23">ROUND(C139*(1+(0.7*D42)),4)</f>
        <v>0.82130000000000003</v>
      </c>
      <c r="E139" s="115">
        <f t="shared" si="23"/>
        <v>0.82840000000000003</v>
      </c>
      <c r="F139" s="115">
        <f t="shared" si="23"/>
        <v>0.8357</v>
      </c>
      <c r="G139" s="115">
        <f t="shared" si="23"/>
        <v>0.85409999999999997</v>
      </c>
      <c r="H139" s="115">
        <f t="shared" si="23"/>
        <v>0.86680000000000001</v>
      </c>
      <c r="I139" s="115">
        <f t="shared" si="23"/>
        <v>0.87939999999999996</v>
      </c>
      <c r="J139" s="115">
        <f t="shared" si="23"/>
        <v>0.88990000000000002</v>
      </c>
      <c r="K139" s="115">
        <f t="shared" si="23"/>
        <v>0.90049999999999997</v>
      </c>
      <c r="L139" s="115">
        <f t="shared" si="23"/>
        <v>0.91120000000000001</v>
      </c>
      <c r="M139" s="115">
        <f t="shared" si="23"/>
        <v>0.91890000000000005</v>
      </c>
      <c r="N139" s="115">
        <f t="shared" si="23"/>
        <v>0.92659999999999998</v>
      </c>
      <c r="O139" s="115">
        <f t="shared" si="23"/>
        <v>0.93440000000000001</v>
      </c>
      <c r="P139" s="115">
        <f t="shared" si="23"/>
        <v>0.94220000000000004</v>
      </c>
      <c r="Q139" s="115">
        <f t="shared" si="23"/>
        <v>0.95009999999999994</v>
      </c>
      <c r="R139" s="115">
        <f t="shared" si="23"/>
        <v>0.95809999999999995</v>
      </c>
      <c r="S139" s="115">
        <f t="shared" si="23"/>
        <v>0.96609999999999996</v>
      </c>
      <c r="T139" s="115">
        <f t="shared" si="23"/>
        <v>0.97419999999999995</v>
      </c>
      <c r="U139" s="115">
        <f t="shared" si="23"/>
        <v>0.98240000000000005</v>
      </c>
      <c r="V139" s="115">
        <f t="shared" si="23"/>
        <v>0.99070000000000003</v>
      </c>
      <c r="W139" s="115">
        <f t="shared" si="23"/>
        <v>0.99760000000000004</v>
      </c>
      <c r="X139" s="115">
        <f t="shared" si="23"/>
        <v>1.0045999999999999</v>
      </c>
      <c r="Y139" s="115">
        <f t="shared" si="23"/>
        <v>1.0116000000000001</v>
      </c>
      <c r="Z139" s="115">
        <f t="shared" si="23"/>
        <v>1.0186999999999999</v>
      </c>
      <c r="AA139" s="115">
        <f t="shared" si="23"/>
        <v>1.0258</v>
      </c>
      <c r="AB139" s="115">
        <f t="shared" si="23"/>
        <v>1.0329999999999999</v>
      </c>
      <c r="AC139" s="115">
        <f t="shared" si="23"/>
        <v>1.0402</v>
      </c>
      <c r="AD139" s="115">
        <f t="shared" si="23"/>
        <v>1.0475000000000001</v>
      </c>
      <c r="AE139" s="115">
        <f t="shared" si="23"/>
        <v>1.0548</v>
      </c>
      <c r="AF139" s="115">
        <f t="shared" si="23"/>
        <v>1.0622</v>
      </c>
      <c r="AG139" s="115">
        <f t="shared" si="23"/>
        <v>1.0719000000000001</v>
      </c>
      <c r="AH139" s="115">
        <f t="shared" si="23"/>
        <v>1.0817000000000001</v>
      </c>
      <c r="AI139" s="115">
        <f t="shared" si="23"/>
        <v>1.0914999999999999</v>
      </c>
      <c r="AJ139" s="115">
        <f t="shared" si="23"/>
        <v>1.1013999999999999</v>
      </c>
      <c r="AK139" s="115">
        <f t="shared" si="23"/>
        <v>1.1113999999999999</v>
      </c>
      <c r="AL139" s="115">
        <f t="shared" si="23"/>
        <v>1.1214999999999999</v>
      </c>
      <c r="AM139" s="115">
        <f t="shared" si="23"/>
        <v>1.1316999999999999</v>
      </c>
      <c r="AN139" s="115">
        <f t="shared" si="23"/>
        <v>1.1419999999999999</v>
      </c>
      <c r="AO139" s="115">
        <f t="shared" si="23"/>
        <v>1.1524000000000001</v>
      </c>
      <c r="AP139" s="115">
        <f t="shared" si="23"/>
        <v>1.1629</v>
      </c>
      <c r="AQ139" s="117"/>
    </row>
    <row r="140" spans="2:43">
      <c r="B140" s="48" t="s">
        <v>314</v>
      </c>
      <c r="C140" s="115">
        <f>35.81*0.01</f>
        <v>0.35810000000000003</v>
      </c>
      <c r="D140" s="115">
        <f t="shared" ref="D140:AP140" si="24">ROUND(C140*(1+(0.7*D42)),4)</f>
        <v>0.36230000000000001</v>
      </c>
      <c r="E140" s="115">
        <f t="shared" si="24"/>
        <v>0.3654</v>
      </c>
      <c r="F140" s="115">
        <f t="shared" si="24"/>
        <v>0.36859999999999998</v>
      </c>
      <c r="G140" s="115">
        <f t="shared" si="24"/>
        <v>0.37669999999999998</v>
      </c>
      <c r="H140" s="115">
        <f t="shared" si="24"/>
        <v>0.38229999999999997</v>
      </c>
      <c r="I140" s="115">
        <f t="shared" si="24"/>
        <v>0.38790000000000002</v>
      </c>
      <c r="J140" s="115">
        <f t="shared" si="24"/>
        <v>0.39250000000000002</v>
      </c>
      <c r="K140" s="115">
        <f t="shared" si="24"/>
        <v>0.3972</v>
      </c>
      <c r="L140" s="115">
        <f t="shared" si="24"/>
        <v>0.40189999999999998</v>
      </c>
      <c r="M140" s="115">
        <f t="shared" si="24"/>
        <v>0.40529999999999999</v>
      </c>
      <c r="N140" s="115">
        <f t="shared" si="24"/>
        <v>0.40870000000000001</v>
      </c>
      <c r="O140" s="115">
        <f t="shared" si="24"/>
        <v>0.41210000000000002</v>
      </c>
      <c r="P140" s="115">
        <f t="shared" si="24"/>
        <v>0.41560000000000002</v>
      </c>
      <c r="Q140" s="115">
        <f t="shared" si="24"/>
        <v>0.41909999999999997</v>
      </c>
      <c r="R140" s="115">
        <f t="shared" si="24"/>
        <v>0.42259999999999998</v>
      </c>
      <c r="S140" s="115">
        <f t="shared" si="24"/>
        <v>0.42609999999999998</v>
      </c>
      <c r="T140" s="115">
        <f t="shared" si="24"/>
        <v>0.42970000000000003</v>
      </c>
      <c r="U140" s="115">
        <f t="shared" si="24"/>
        <v>0.43330000000000002</v>
      </c>
      <c r="V140" s="115">
        <f t="shared" si="24"/>
        <v>0.43690000000000001</v>
      </c>
      <c r="W140" s="115">
        <f t="shared" si="24"/>
        <v>0.44</v>
      </c>
      <c r="X140" s="115">
        <f t="shared" si="24"/>
        <v>0.44309999999999999</v>
      </c>
      <c r="Y140" s="115">
        <f t="shared" si="24"/>
        <v>0.44619999999999999</v>
      </c>
      <c r="Z140" s="115">
        <f t="shared" si="24"/>
        <v>0.44929999999999998</v>
      </c>
      <c r="AA140" s="115">
        <f t="shared" si="24"/>
        <v>0.45240000000000002</v>
      </c>
      <c r="AB140" s="115">
        <f t="shared" si="24"/>
        <v>0.4556</v>
      </c>
      <c r="AC140" s="115">
        <f t="shared" si="24"/>
        <v>0.45879999999999999</v>
      </c>
      <c r="AD140" s="115">
        <f t="shared" si="24"/>
        <v>0.46200000000000002</v>
      </c>
      <c r="AE140" s="115">
        <f t="shared" si="24"/>
        <v>0.4652</v>
      </c>
      <c r="AF140" s="115">
        <f t="shared" si="24"/>
        <v>0.46850000000000003</v>
      </c>
      <c r="AG140" s="115">
        <f t="shared" si="24"/>
        <v>0.4728</v>
      </c>
      <c r="AH140" s="115">
        <f t="shared" si="24"/>
        <v>0.47710000000000002</v>
      </c>
      <c r="AI140" s="115">
        <f t="shared" si="24"/>
        <v>0.48139999999999999</v>
      </c>
      <c r="AJ140" s="115">
        <f t="shared" si="24"/>
        <v>0.48580000000000001</v>
      </c>
      <c r="AK140" s="115">
        <f t="shared" si="24"/>
        <v>0.49020000000000002</v>
      </c>
      <c r="AL140" s="115">
        <f t="shared" si="24"/>
        <v>0.49469999999999997</v>
      </c>
      <c r="AM140" s="115">
        <f t="shared" si="24"/>
        <v>0.49919999999999998</v>
      </c>
      <c r="AN140" s="115">
        <f t="shared" si="24"/>
        <v>0.50370000000000004</v>
      </c>
      <c r="AO140" s="115">
        <f t="shared" si="24"/>
        <v>0.50829999999999997</v>
      </c>
      <c r="AP140" s="115">
        <f t="shared" si="24"/>
        <v>0.51290000000000002</v>
      </c>
      <c r="AQ140" s="117"/>
    </row>
    <row r="141" spans="2:43">
      <c r="B141" s="48" t="s">
        <v>315</v>
      </c>
      <c r="C141" s="115">
        <f>5.17*0.01</f>
        <v>5.1700000000000003E-2</v>
      </c>
      <c r="D141" s="115">
        <f t="shared" ref="D141:AP141" si="25">ROUND(C141*(1+(0.7*D42)),4)</f>
        <v>5.2299999999999999E-2</v>
      </c>
      <c r="E141" s="115">
        <f t="shared" si="25"/>
        <v>5.28E-2</v>
      </c>
      <c r="F141" s="115">
        <f t="shared" si="25"/>
        <v>5.33E-2</v>
      </c>
      <c r="G141" s="115">
        <f t="shared" si="25"/>
        <v>5.45E-2</v>
      </c>
      <c r="H141" s="115">
        <f t="shared" si="25"/>
        <v>5.5300000000000002E-2</v>
      </c>
      <c r="I141" s="115">
        <f t="shared" si="25"/>
        <v>5.6099999999999997E-2</v>
      </c>
      <c r="J141" s="115">
        <f t="shared" si="25"/>
        <v>5.6800000000000003E-2</v>
      </c>
      <c r="K141" s="115">
        <f t="shared" si="25"/>
        <v>5.7500000000000002E-2</v>
      </c>
      <c r="L141" s="115">
        <f t="shared" si="25"/>
        <v>5.8200000000000002E-2</v>
      </c>
      <c r="M141" s="115">
        <f t="shared" si="25"/>
        <v>5.8700000000000002E-2</v>
      </c>
      <c r="N141" s="115">
        <f t="shared" si="25"/>
        <v>5.9200000000000003E-2</v>
      </c>
      <c r="O141" s="115">
        <f t="shared" si="25"/>
        <v>5.9700000000000003E-2</v>
      </c>
      <c r="P141" s="115">
        <f t="shared" si="25"/>
        <v>6.0199999999999997E-2</v>
      </c>
      <c r="Q141" s="115">
        <f t="shared" si="25"/>
        <v>6.0699999999999997E-2</v>
      </c>
      <c r="R141" s="115">
        <f t="shared" si="25"/>
        <v>6.1199999999999997E-2</v>
      </c>
      <c r="S141" s="115">
        <f t="shared" si="25"/>
        <v>6.1699999999999998E-2</v>
      </c>
      <c r="T141" s="115">
        <f t="shared" si="25"/>
        <v>6.2199999999999998E-2</v>
      </c>
      <c r="U141" s="115">
        <f t="shared" si="25"/>
        <v>6.2700000000000006E-2</v>
      </c>
      <c r="V141" s="115">
        <f t="shared" si="25"/>
        <v>6.3200000000000006E-2</v>
      </c>
      <c r="W141" s="115">
        <f t="shared" si="25"/>
        <v>6.3600000000000004E-2</v>
      </c>
      <c r="X141" s="115">
        <f t="shared" si="25"/>
        <v>6.4000000000000001E-2</v>
      </c>
      <c r="Y141" s="115">
        <f t="shared" si="25"/>
        <v>6.4399999999999999E-2</v>
      </c>
      <c r="Z141" s="115">
        <f t="shared" si="25"/>
        <v>6.4899999999999999E-2</v>
      </c>
      <c r="AA141" s="115">
        <f t="shared" si="25"/>
        <v>6.54E-2</v>
      </c>
      <c r="AB141" s="115">
        <f t="shared" si="25"/>
        <v>6.59E-2</v>
      </c>
      <c r="AC141" s="115">
        <f t="shared" si="25"/>
        <v>6.6400000000000001E-2</v>
      </c>
      <c r="AD141" s="115">
        <f t="shared" si="25"/>
        <v>6.6900000000000001E-2</v>
      </c>
      <c r="AE141" s="115">
        <f t="shared" si="25"/>
        <v>6.7400000000000002E-2</v>
      </c>
      <c r="AF141" s="115">
        <f t="shared" si="25"/>
        <v>6.7900000000000002E-2</v>
      </c>
      <c r="AG141" s="115">
        <f t="shared" si="25"/>
        <v>6.8500000000000005E-2</v>
      </c>
      <c r="AH141" s="115">
        <f t="shared" si="25"/>
        <v>6.9099999999999995E-2</v>
      </c>
      <c r="AI141" s="115">
        <f t="shared" si="25"/>
        <v>6.9699999999999998E-2</v>
      </c>
      <c r="AJ141" s="115">
        <f t="shared" si="25"/>
        <v>7.0300000000000001E-2</v>
      </c>
      <c r="AK141" s="115">
        <f t="shared" si="25"/>
        <v>7.0900000000000005E-2</v>
      </c>
      <c r="AL141" s="115">
        <f t="shared" si="25"/>
        <v>7.1499999999999994E-2</v>
      </c>
      <c r="AM141" s="115">
        <f t="shared" si="25"/>
        <v>7.22E-2</v>
      </c>
      <c r="AN141" s="115">
        <f t="shared" si="25"/>
        <v>7.2900000000000006E-2</v>
      </c>
      <c r="AO141" s="115">
        <f t="shared" si="25"/>
        <v>7.3599999999999999E-2</v>
      </c>
      <c r="AP141" s="115">
        <f t="shared" si="25"/>
        <v>7.4300000000000005E-2</v>
      </c>
      <c r="AQ141" s="117"/>
    </row>
    <row r="142" spans="2:43">
      <c r="B142" s="48" t="s">
        <v>316</v>
      </c>
      <c r="C142" s="115">
        <f>110.87*0.01</f>
        <v>1.1087</v>
      </c>
      <c r="D142" s="115">
        <f t="shared" ref="D142:AP142" si="26">ROUND(C142*(1+(0.7*D42)),4)</f>
        <v>1.1216999999999999</v>
      </c>
      <c r="E142" s="115">
        <f t="shared" si="26"/>
        <v>1.1314</v>
      </c>
      <c r="F142" s="115">
        <f t="shared" si="26"/>
        <v>1.1413</v>
      </c>
      <c r="G142" s="115">
        <f t="shared" si="26"/>
        <v>1.1665000000000001</v>
      </c>
      <c r="H142" s="115">
        <f t="shared" si="26"/>
        <v>1.1839</v>
      </c>
      <c r="I142" s="115">
        <f t="shared" si="26"/>
        <v>1.2012</v>
      </c>
      <c r="J142" s="115">
        <f t="shared" si="26"/>
        <v>1.2155</v>
      </c>
      <c r="K142" s="115">
        <f t="shared" si="26"/>
        <v>1.23</v>
      </c>
      <c r="L142" s="115">
        <f t="shared" si="26"/>
        <v>1.2445999999999999</v>
      </c>
      <c r="M142" s="115">
        <f t="shared" si="26"/>
        <v>1.2551000000000001</v>
      </c>
      <c r="N142" s="115">
        <f t="shared" si="26"/>
        <v>1.2656000000000001</v>
      </c>
      <c r="O142" s="115">
        <f t="shared" si="26"/>
        <v>1.2762</v>
      </c>
      <c r="P142" s="115">
        <f t="shared" si="26"/>
        <v>1.2868999999999999</v>
      </c>
      <c r="Q142" s="115">
        <f t="shared" si="26"/>
        <v>1.2977000000000001</v>
      </c>
      <c r="R142" s="115">
        <f t="shared" si="26"/>
        <v>1.3086</v>
      </c>
      <c r="S142" s="115">
        <f t="shared" si="26"/>
        <v>1.3196000000000001</v>
      </c>
      <c r="T142" s="115">
        <f t="shared" si="26"/>
        <v>1.3307</v>
      </c>
      <c r="U142" s="115">
        <f t="shared" si="26"/>
        <v>1.3419000000000001</v>
      </c>
      <c r="V142" s="115">
        <f t="shared" si="26"/>
        <v>1.3532</v>
      </c>
      <c r="W142" s="115">
        <f t="shared" si="26"/>
        <v>1.3627</v>
      </c>
      <c r="X142" s="115">
        <f t="shared" si="26"/>
        <v>1.3722000000000001</v>
      </c>
      <c r="Y142" s="115">
        <f t="shared" si="26"/>
        <v>1.3817999999999999</v>
      </c>
      <c r="Z142" s="115">
        <f t="shared" si="26"/>
        <v>1.3915</v>
      </c>
      <c r="AA142" s="115">
        <f t="shared" si="26"/>
        <v>1.4012</v>
      </c>
      <c r="AB142" s="115">
        <f t="shared" si="26"/>
        <v>1.411</v>
      </c>
      <c r="AC142" s="115">
        <f t="shared" si="26"/>
        <v>1.4209000000000001</v>
      </c>
      <c r="AD142" s="115">
        <f t="shared" si="26"/>
        <v>1.4308000000000001</v>
      </c>
      <c r="AE142" s="115">
        <f t="shared" si="26"/>
        <v>1.4408000000000001</v>
      </c>
      <c r="AF142" s="115">
        <f t="shared" si="26"/>
        <v>1.4509000000000001</v>
      </c>
      <c r="AG142" s="115">
        <f t="shared" si="26"/>
        <v>1.4641</v>
      </c>
      <c r="AH142" s="115">
        <f t="shared" si="26"/>
        <v>1.4774</v>
      </c>
      <c r="AI142" s="115">
        <f t="shared" si="26"/>
        <v>1.4907999999999999</v>
      </c>
      <c r="AJ142" s="115">
        <f t="shared" si="26"/>
        <v>1.5044</v>
      </c>
      <c r="AK142" s="115">
        <f t="shared" si="26"/>
        <v>1.5181</v>
      </c>
      <c r="AL142" s="115">
        <f t="shared" si="26"/>
        <v>1.5319</v>
      </c>
      <c r="AM142" s="115">
        <f t="shared" si="26"/>
        <v>1.5458000000000001</v>
      </c>
      <c r="AN142" s="115">
        <f t="shared" si="26"/>
        <v>1.5599000000000001</v>
      </c>
      <c r="AO142" s="115">
        <f t="shared" si="26"/>
        <v>1.5741000000000001</v>
      </c>
      <c r="AP142" s="115">
        <f t="shared" si="26"/>
        <v>1.5884</v>
      </c>
      <c r="AQ142" s="117"/>
    </row>
    <row r="143" spans="2:43">
      <c r="B143" s="48" t="s">
        <v>317</v>
      </c>
      <c r="C143" s="115">
        <f>46.16*0.01</f>
        <v>0.46159999999999995</v>
      </c>
      <c r="D143" s="115">
        <f t="shared" ref="D143:AP143" si="27">ROUND(C143*(1+(0.7*D42)),4)</f>
        <v>0.46700000000000003</v>
      </c>
      <c r="E143" s="115">
        <f t="shared" si="27"/>
        <v>0.47099999999999997</v>
      </c>
      <c r="F143" s="115">
        <f t="shared" si="27"/>
        <v>0.47510000000000002</v>
      </c>
      <c r="G143" s="115">
        <f t="shared" si="27"/>
        <v>0.48559999999999998</v>
      </c>
      <c r="H143" s="115">
        <f t="shared" si="27"/>
        <v>0.49280000000000002</v>
      </c>
      <c r="I143" s="115">
        <f t="shared" si="27"/>
        <v>0.5</v>
      </c>
      <c r="J143" s="115">
        <f t="shared" si="27"/>
        <v>0.50600000000000001</v>
      </c>
      <c r="K143" s="115">
        <f t="shared" si="27"/>
        <v>0.51200000000000001</v>
      </c>
      <c r="L143" s="115">
        <f t="shared" si="27"/>
        <v>0.5181</v>
      </c>
      <c r="M143" s="115">
        <f t="shared" si="27"/>
        <v>0.52249999999999996</v>
      </c>
      <c r="N143" s="115">
        <f t="shared" si="27"/>
        <v>0.52690000000000003</v>
      </c>
      <c r="O143" s="115">
        <f t="shared" si="27"/>
        <v>0.53129999999999999</v>
      </c>
      <c r="P143" s="115">
        <f t="shared" si="27"/>
        <v>0.53580000000000005</v>
      </c>
      <c r="Q143" s="115">
        <f t="shared" si="27"/>
        <v>0.5403</v>
      </c>
      <c r="R143" s="115">
        <f t="shared" si="27"/>
        <v>0.54479999999999995</v>
      </c>
      <c r="S143" s="115">
        <f t="shared" si="27"/>
        <v>0.5494</v>
      </c>
      <c r="T143" s="115">
        <f t="shared" si="27"/>
        <v>0.55400000000000005</v>
      </c>
      <c r="U143" s="115">
        <f t="shared" si="27"/>
        <v>0.55869999999999997</v>
      </c>
      <c r="V143" s="115">
        <f t="shared" si="27"/>
        <v>0.56340000000000001</v>
      </c>
      <c r="W143" s="115">
        <f t="shared" si="27"/>
        <v>0.56730000000000003</v>
      </c>
      <c r="X143" s="115">
        <f t="shared" si="27"/>
        <v>0.57130000000000003</v>
      </c>
      <c r="Y143" s="115">
        <f t="shared" si="27"/>
        <v>0.57530000000000003</v>
      </c>
      <c r="Z143" s="115">
        <f t="shared" si="27"/>
        <v>0.57930000000000004</v>
      </c>
      <c r="AA143" s="115">
        <f t="shared" si="27"/>
        <v>0.58340000000000003</v>
      </c>
      <c r="AB143" s="115">
        <f t="shared" si="27"/>
        <v>0.58750000000000002</v>
      </c>
      <c r="AC143" s="115">
        <f t="shared" si="27"/>
        <v>0.59160000000000001</v>
      </c>
      <c r="AD143" s="115">
        <f t="shared" si="27"/>
        <v>0.59570000000000001</v>
      </c>
      <c r="AE143" s="115">
        <f t="shared" si="27"/>
        <v>0.59989999999999999</v>
      </c>
      <c r="AF143" s="115">
        <f t="shared" si="27"/>
        <v>0.60409999999999997</v>
      </c>
      <c r="AG143" s="115">
        <f t="shared" si="27"/>
        <v>0.60960000000000003</v>
      </c>
      <c r="AH143" s="115">
        <f t="shared" si="27"/>
        <v>0.61509999999999998</v>
      </c>
      <c r="AI143" s="115">
        <f t="shared" si="27"/>
        <v>0.62070000000000003</v>
      </c>
      <c r="AJ143" s="115">
        <f t="shared" si="27"/>
        <v>0.62629999999999997</v>
      </c>
      <c r="AK143" s="115">
        <f t="shared" si="27"/>
        <v>0.63200000000000001</v>
      </c>
      <c r="AL143" s="115">
        <f t="shared" si="27"/>
        <v>0.63780000000000003</v>
      </c>
      <c r="AM143" s="115">
        <f t="shared" si="27"/>
        <v>0.64359999999999995</v>
      </c>
      <c r="AN143" s="115">
        <f t="shared" si="27"/>
        <v>0.64949999999999997</v>
      </c>
      <c r="AO143" s="115">
        <f t="shared" si="27"/>
        <v>0.65539999999999998</v>
      </c>
      <c r="AP143" s="115">
        <f t="shared" si="27"/>
        <v>0.66139999999999999</v>
      </c>
      <c r="AQ143" s="117"/>
    </row>
    <row r="144" spans="2:43">
      <c r="B144" s="48" t="s">
        <v>318</v>
      </c>
      <c r="C144" s="115">
        <f>6.67*0.01</f>
        <v>6.6699999999999995E-2</v>
      </c>
      <c r="D144" s="115">
        <f t="shared" ref="D144:AP144" si="28">ROUND(C144*(1+(0.7*D42)),4)</f>
        <v>6.7500000000000004E-2</v>
      </c>
      <c r="E144" s="115">
        <f t="shared" si="28"/>
        <v>6.8099999999999994E-2</v>
      </c>
      <c r="F144" s="115">
        <f t="shared" si="28"/>
        <v>6.8699999999999997E-2</v>
      </c>
      <c r="G144" s="115">
        <f t="shared" si="28"/>
        <v>7.0199999999999999E-2</v>
      </c>
      <c r="H144" s="115">
        <f t="shared" si="28"/>
        <v>7.1199999999999999E-2</v>
      </c>
      <c r="I144" s="115">
        <f t="shared" si="28"/>
        <v>7.22E-2</v>
      </c>
      <c r="J144" s="115">
        <f t="shared" si="28"/>
        <v>7.3099999999999998E-2</v>
      </c>
      <c r="K144" s="115">
        <f t="shared" si="28"/>
        <v>7.3999999999999996E-2</v>
      </c>
      <c r="L144" s="115">
        <f t="shared" si="28"/>
        <v>7.4899999999999994E-2</v>
      </c>
      <c r="M144" s="115">
        <f t="shared" si="28"/>
        <v>7.5499999999999998E-2</v>
      </c>
      <c r="N144" s="115">
        <f t="shared" si="28"/>
        <v>7.6100000000000001E-2</v>
      </c>
      <c r="O144" s="115">
        <f t="shared" si="28"/>
        <v>7.6700000000000004E-2</v>
      </c>
      <c r="P144" s="115">
        <f t="shared" si="28"/>
        <v>7.7299999999999994E-2</v>
      </c>
      <c r="Q144" s="115">
        <f t="shared" si="28"/>
        <v>7.7899999999999997E-2</v>
      </c>
      <c r="R144" s="115">
        <f t="shared" si="28"/>
        <v>7.8600000000000003E-2</v>
      </c>
      <c r="S144" s="115">
        <f t="shared" si="28"/>
        <v>7.9299999999999995E-2</v>
      </c>
      <c r="T144" s="115">
        <f t="shared" si="28"/>
        <v>0.08</v>
      </c>
      <c r="U144" s="115">
        <f t="shared" si="28"/>
        <v>8.0699999999999994E-2</v>
      </c>
      <c r="V144" s="115">
        <f t="shared" si="28"/>
        <v>8.14E-2</v>
      </c>
      <c r="W144" s="115">
        <f t="shared" si="28"/>
        <v>8.2000000000000003E-2</v>
      </c>
      <c r="X144" s="115">
        <f t="shared" si="28"/>
        <v>8.2600000000000007E-2</v>
      </c>
      <c r="Y144" s="115">
        <f t="shared" si="28"/>
        <v>8.3199999999999996E-2</v>
      </c>
      <c r="Z144" s="115">
        <f t="shared" si="28"/>
        <v>8.3799999999999999E-2</v>
      </c>
      <c r="AA144" s="115">
        <f t="shared" si="28"/>
        <v>8.4400000000000003E-2</v>
      </c>
      <c r="AB144" s="115">
        <f t="shared" si="28"/>
        <v>8.5000000000000006E-2</v>
      </c>
      <c r="AC144" s="115">
        <f t="shared" si="28"/>
        <v>8.5599999999999996E-2</v>
      </c>
      <c r="AD144" s="115">
        <f t="shared" si="28"/>
        <v>8.6199999999999999E-2</v>
      </c>
      <c r="AE144" s="115">
        <f t="shared" si="28"/>
        <v>8.6800000000000002E-2</v>
      </c>
      <c r="AF144" s="115">
        <f t="shared" si="28"/>
        <v>8.7400000000000005E-2</v>
      </c>
      <c r="AG144" s="115">
        <f t="shared" si="28"/>
        <v>8.8200000000000001E-2</v>
      </c>
      <c r="AH144" s="115">
        <f t="shared" si="28"/>
        <v>8.8999999999999996E-2</v>
      </c>
      <c r="AI144" s="115">
        <f t="shared" si="28"/>
        <v>8.9800000000000005E-2</v>
      </c>
      <c r="AJ144" s="115">
        <f t="shared" si="28"/>
        <v>9.06E-2</v>
      </c>
      <c r="AK144" s="115">
        <f t="shared" si="28"/>
        <v>9.1399999999999995E-2</v>
      </c>
      <c r="AL144" s="115">
        <f t="shared" si="28"/>
        <v>9.2200000000000004E-2</v>
      </c>
      <c r="AM144" s="115">
        <f t="shared" si="28"/>
        <v>9.2999999999999999E-2</v>
      </c>
      <c r="AN144" s="115">
        <f t="shared" si="28"/>
        <v>9.3799999999999994E-2</v>
      </c>
      <c r="AO144" s="115">
        <f t="shared" si="28"/>
        <v>9.4700000000000006E-2</v>
      </c>
      <c r="AP144" s="115">
        <f t="shared" si="28"/>
        <v>9.5600000000000004E-2</v>
      </c>
      <c r="AQ144" s="117"/>
    </row>
    <row r="145" spans="2:8">
      <c r="B145" s="1" t="s">
        <v>212</v>
      </c>
    </row>
    <row r="148" spans="2:8" ht="27.75">
      <c r="B148" s="145" t="s">
        <v>320</v>
      </c>
    </row>
    <row r="151" spans="2:8" ht="25.5" customHeight="1">
      <c r="B151" s="875" t="s">
        <v>301</v>
      </c>
      <c r="C151" s="876"/>
      <c r="D151" s="12"/>
      <c r="E151" s="12"/>
      <c r="F151" s="12"/>
      <c r="G151" s="12"/>
      <c r="H151" s="12"/>
    </row>
    <row r="152" spans="2:8" ht="17.25" customHeight="1">
      <c r="B152" s="143" t="s">
        <v>99</v>
      </c>
      <c r="C152" s="83" t="s">
        <v>100</v>
      </c>
    </row>
    <row r="153" spans="2:8">
      <c r="B153" s="3" t="s">
        <v>90</v>
      </c>
      <c r="C153" s="91">
        <v>4.7</v>
      </c>
      <c r="E153" s="2" t="s">
        <v>102</v>
      </c>
    </row>
    <row r="154" spans="2:8">
      <c r="B154" s="3" t="s">
        <v>91</v>
      </c>
      <c r="C154" s="91">
        <v>3.6</v>
      </c>
      <c r="E154" s="2" t="s">
        <v>321</v>
      </c>
    </row>
    <row r="155" spans="2:8">
      <c r="B155" s="3" t="s">
        <v>92</v>
      </c>
      <c r="C155" s="91">
        <v>150</v>
      </c>
    </row>
    <row r="156" spans="2:8">
      <c r="B156" s="3" t="s">
        <v>93</v>
      </c>
      <c r="C156" s="91">
        <v>3.9</v>
      </c>
    </row>
    <row r="157" spans="2:8">
      <c r="B157" s="3" t="s">
        <v>94</v>
      </c>
      <c r="C157" s="91">
        <v>3.2</v>
      </c>
    </row>
    <row r="158" spans="2:8">
      <c r="B158" s="3" t="s">
        <v>95</v>
      </c>
      <c r="C158" s="91">
        <v>130.9</v>
      </c>
    </row>
    <row r="159" spans="2:8">
      <c r="B159" s="3" t="s">
        <v>96</v>
      </c>
      <c r="C159" s="91">
        <v>2.1</v>
      </c>
    </row>
    <row r="160" spans="2:8">
      <c r="B160" s="3" t="s">
        <v>97</v>
      </c>
      <c r="C160" s="91">
        <v>1</v>
      </c>
    </row>
    <row r="161" spans="2:5">
      <c r="B161" s="3" t="s">
        <v>98</v>
      </c>
      <c r="C161" s="91">
        <v>20.399999999999999</v>
      </c>
    </row>
    <row r="162" spans="2:5">
      <c r="B162" s="3" t="s">
        <v>89</v>
      </c>
      <c r="C162" s="91">
        <v>35</v>
      </c>
    </row>
    <row r="163" spans="2:5">
      <c r="B163" s="1" t="s">
        <v>101</v>
      </c>
      <c r="C163" s="88"/>
    </row>
    <row r="165" spans="2:5" ht="17.25" customHeight="1">
      <c r="B165" s="886" t="s">
        <v>111</v>
      </c>
      <c r="C165" s="886"/>
    </row>
    <row r="166" spans="2:5">
      <c r="B166" s="3" t="s">
        <v>67</v>
      </c>
      <c r="C166" s="87">
        <v>1.4</v>
      </c>
    </row>
    <row r="167" spans="2:5">
      <c r="B167" s="3" t="s">
        <v>112</v>
      </c>
      <c r="C167" s="90">
        <v>22</v>
      </c>
    </row>
    <row r="168" spans="2:5">
      <c r="B168" s="1" t="s">
        <v>75</v>
      </c>
    </row>
    <row r="170" spans="2:5" ht="34.5" customHeight="1">
      <c r="B170" s="144" t="s">
        <v>121</v>
      </c>
      <c r="C170" s="135" t="s">
        <v>120</v>
      </c>
    </row>
    <row r="171" spans="2:5">
      <c r="B171" s="3" t="s">
        <v>118</v>
      </c>
      <c r="C171" s="74">
        <v>0.44</v>
      </c>
    </row>
    <row r="172" spans="2:5">
      <c r="B172" s="3" t="s">
        <v>119</v>
      </c>
      <c r="C172" s="74">
        <v>0.56000000000000005</v>
      </c>
    </row>
    <row r="173" spans="2:5">
      <c r="B173" s="3" t="s">
        <v>122</v>
      </c>
      <c r="C173" s="15">
        <v>17.5</v>
      </c>
    </row>
    <row r="174" spans="2:5">
      <c r="B174" s="3" t="s">
        <v>123</v>
      </c>
      <c r="C174" s="15">
        <v>1.96</v>
      </c>
      <c r="E174" s="2" t="s">
        <v>133</v>
      </c>
    </row>
    <row r="175" spans="2:5">
      <c r="B175" s="1" t="s">
        <v>75</v>
      </c>
    </row>
    <row r="177" spans="2:123" ht="22.5">
      <c r="B177" s="144" t="s">
        <v>134</v>
      </c>
      <c r="C177" s="77" t="s">
        <v>124</v>
      </c>
      <c r="D177" s="75"/>
      <c r="E177" s="75"/>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75"/>
      <c r="AV177" s="75"/>
      <c r="AW177" s="75"/>
      <c r="AX177" s="75"/>
      <c r="AY177" s="75"/>
      <c r="AZ177" s="75"/>
      <c r="BA177" s="75"/>
      <c r="BB177" s="75"/>
      <c r="BC177" s="75"/>
      <c r="BD177" s="75"/>
      <c r="BE177" s="75"/>
      <c r="BF177" s="75"/>
      <c r="BG177" s="75"/>
      <c r="BH177" s="75"/>
      <c r="BI177" s="75"/>
      <c r="BJ177" s="75"/>
      <c r="BK177" s="75"/>
      <c r="BL177" s="75"/>
      <c r="BM177" s="75"/>
      <c r="BN177" s="75"/>
      <c r="BO177" s="75"/>
      <c r="BP177" s="75"/>
      <c r="BQ177" s="75"/>
      <c r="BR177" s="75"/>
      <c r="BS177" s="75"/>
      <c r="BT177" s="75"/>
      <c r="BU177" s="75"/>
      <c r="BV177" s="75"/>
      <c r="BW177" s="75"/>
      <c r="BX177" s="75"/>
      <c r="BY177" s="75"/>
      <c r="BZ177" s="75"/>
      <c r="CA177" s="75"/>
      <c r="CB177" s="75"/>
      <c r="CC177" s="75"/>
      <c r="CD177" s="75"/>
      <c r="CE177" s="75"/>
      <c r="CF177" s="75"/>
      <c r="CG177" s="75"/>
      <c r="CH177" s="75"/>
      <c r="CI177" s="75"/>
      <c r="CJ177" s="75"/>
      <c r="CK177" s="75"/>
      <c r="CL177" s="75"/>
      <c r="CM177" s="75"/>
      <c r="CN177" s="75"/>
      <c r="CO177" s="75"/>
      <c r="CP177" s="75"/>
      <c r="CQ177" s="75"/>
      <c r="CR177" s="75"/>
      <c r="CS177" s="75"/>
      <c r="CT177" s="75"/>
      <c r="CU177" s="75"/>
      <c r="CV177" s="75"/>
      <c r="CW177" s="75"/>
      <c r="CX177" s="75"/>
      <c r="CY177" s="75"/>
      <c r="CZ177" s="75"/>
      <c r="DA177" s="75"/>
      <c r="DB177" s="75"/>
      <c r="DC177" s="75"/>
      <c r="DD177" s="75"/>
      <c r="DE177" s="75"/>
      <c r="DF177" s="75"/>
      <c r="DG177" s="75"/>
      <c r="DH177" s="75"/>
      <c r="DI177" s="75"/>
      <c r="DJ177" s="75"/>
      <c r="DK177" s="75"/>
      <c r="DL177" s="75"/>
      <c r="DM177" s="75"/>
      <c r="DN177" s="75"/>
      <c r="DO177" s="75"/>
      <c r="DP177" s="75"/>
      <c r="DQ177" s="75"/>
      <c r="DR177" s="75"/>
      <c r="DS177" s="76"/>
    </row>
    <row r="178" spans="2:123" ht="17.25" customHeight="1">
      <c r="B178" s="95" t="s">
        <v>103</v>
      </c>
      <c r="C178" s="83">
        <v>10</v>
      </c>
      <c r="D178" s="83">
        <v>11</v>
      </c>
      <c r="E178" s="83">
        <v>12</v>
      </c>
      <c r="F178" s="83">
        <v>13</v>
      </c>
      <c r="G178" s="83">
        <v>14</v>
      </c>
      <c r="H178" s="83">
        <v>15</v>
      </c>
      <c r="I178" s="83">
        <v>16</v>
      </c>
      <c r="J178" s="83">
        <v>17</v>
      </c>
      <c r="K178" s="83">
        <v>18</v>
      </c>
      <c r="L178" s="83">
        <v>19</v>
      </c>
      <c r="M178" s="83">
        <v>20</v>
      </c>
      <c r="N178" s="83">
        <v>21</v>
      </c>
      <c r="O178" s="83">
        <v>22</v>
      </c>
      <c r="P178" s="83">
        <v>23</v>
      </c>
      <c r="Q178" s="83">
        <v>24</v>
      </c>
      <c r="R178" s="83">
        <v>25</v>
      </c>
      <c r="S178" s="83">
        <v>26</v>
      </c>
      <c r="T178" s="83">
        <v>27</v>
      </c>
      <c r="U178" s="83">
        <v>28</v>
      </c>
      <c r="V178" s="83">
        <v>29</v>
      </c>
      <c r="W178" s="83">
        <v>30</v>
      </c>
      <c r="X178" s="83">
        <v>31</v>
      </c>
      <c r="Y178" s="83">
        <v>32</v>
      </c>
      <c r="Z178" s="83">
        <v>33</v>
      </c>
      <c r="AA178" s="83">
        <v>34</v>
      </c>
      <c r="AB178" s="83">
        <v>35</v>
      </c>
      <c r="AC178" s="83">
        <v>36</v>
      </c>
      <c r="AD178" s="83">
        <v>37</v>
      </c>
      <c r="AE178" s="83">
        <v>38</v>
      </c>
      <c r="AF178" s="83">
        <v>39</v>
      </c>
      <c r="AG178" s="83">
        <v>40</v>
      </c>
      <c r="AH178" s="83">
        <v>41</v>
      </c>
      <c r="AI178" s="83">
        <v>42</v>
      </c>
      <c r="AJ178" s="83">
        <v>43</v>
      </c>
      <c r="AK178" s="83">
        <v>44</v>
      </c>
      <c r="AL178" s="83">
        <v>45</v>
      </c>
      <c r="AM178" s="83">
        <v>46</v>
      </c>
      <c r="AN178" s="83">
        <v>47</v>
      </c>
      <c r="AO178" s="83">
        <v>48</v>
      </c>
      <c r="AP178" s="83">
        <v>49</v>
      </c>
      <c r="AQ178" s="83">
        <v>50</v>
      </c>
      <c r="AR178" s="83">
        <v>51</v>
      </c>
      <c r="AS178" s="83">
        <v>52</v>
      </c>
      <c r="AT178" s="83">
        <v>53</v>
      </c>
      <c r="AU178" s="83">
        <v>54</v>
      </c>
      <c r="AV178" s="83">
        <v>55</v>
      </c>
      <c r="AW178" s="83">
        <v>56</v>
      </c>
      <c r="AX178" s="83">
        <v>57</v>
      </c>
      <c r="AY178" s="83">
        <v>58</v>
      </c>
      <c r="AZ178" s="83">
        <v>59</v>
      </c>
      <c r="BA178" s="83">
        <v>60</v>
      </c>
      <c r="BB178" s="83">
        <v>61</v>
      </c>
      <c r="BC178" s="83">
        <v>62</v>
      </c>
      <c r="BD178" s="83">
        <v>63</v>
      </c>
      <c r="BE178" s="83">
        <v>64</v>
      </c>
      <c r="BF178" s="83">
        <v>65</v>
      </c>
      <c r="BG178" s="83">
        <v>66</v>
      </c>
      <c r="BH178" s="83">
        <v>67</v>
      </c>
      <c r="BI178" s="83">
        <v>68</v>
      </c>
      <c r="BJ178" s="83">
        <v>69</v>
      </c>
      <c r="BK178" s="83">
        <v>70</v>
      </c>
      <c r="BL178" s="83">
        <v>71</v>
      </c>
      <c r="BM178" s="83">
        <v>72</v>
      </c>
      <c r="BN178" s="83">
        <v>73</v>
      </c>
      <c r="BO178" s="83">
        <v>74</v>
      </c>
      <c r="BP178" s="83">
        <v>75</v>
      </c>
      <c r="BQ178" s="83">
        <v>76</v>
      </c>
      <c r="BR178" s="83">
        <v>77</v>
      </c>
      <c r="BS178" s="83">
        <v>78</v>
      </c>
      <c r="BT178" s="83">
        <v>79</v>
      </c>
      <c r="BU178" s="83">
        <v>80</v>
      </c>
      <c r="BV178" s="83">
        <v>81</v>
      </c>
      <c r="BW178" s="83">
        <v>82</v>
      </c>
      <c r="BX178" s="83">
        <v>83</v>
      </c>
      <c r="BY178" s="83">
        <v>84</v>
      </c>
      <c r="BZ178" s="83">
        <v>85</v>
      </c>
      <c r="CA178" s="83">
        <v>86</v>
      </c>
      <c r="CB178" s="83">
        <v>87</v>
      </c>
      <c r="CC178" s="83">
        <v>88</v>
      </c>
      <c r="CD178" s="83">
        <v>89</v>
      </c>
      <c r="CE178" s="83">
        <v>90</v>
      </c>
      <c r="CF178" s="83">
        <v>91</v>
      </c>
      <c r="CG178" s="83">
        <v>92</v>
      </c>
      <c r="CH178" s="83">
        <v>93</v>
      </c>
      <c r="CI178" s="83">
        <v>94</v>
      </c>
      <c r="CJ178" s="83">
        <v>95</v>
      </c>
      <c r="CK178" s="83">
        <v>96</v>
      </c>
      <c r="CL178" s="83">
        <v>97</v>
      </c>
      <c r="CM178" s="83">
        <v>98</v>
      </c>
      <c r="CN178" s="83">
        <v>99</v>
      </c>
      <c r="CO178" s="83">
        <v>100</v>
      </c>
      <c r="CP178" s="83">
        <v>101</v>
      </c>
      <c r="CQ178" s="83">
        <v>102</v>
      </c>
      <c r="CR178" s="83">
        <v>103</v>
      </c>
      <c r="CS178" s="83">
        <v>104</v>
      </c>
      <c r="CT178" s="83">
        <v>105</v>
      </c>
      <c r="CU178" s="83">
        <v>106</v>
      </c>
      <c r="CV178" s="83">
        <v>107</v>
      </c>
      <c r="CW178" s="83">
        <v>108</v>
      </c>
      <c r="CX178" s="83">
        <v>109</v>
      </c>
      <c r="CY178" s="83">
        <v>110</v>
      </c>
      <c r="CZ178" s="83">
        <v>111</v>
      </c>
      <c r="DA178" s="83">
        <v>112</v>
      </c>
      <c r="DB178" s="83">
        <v>113</v>
      </c>
      <c r="DC178" s="83">
        <v>114</v>
      </c>
      <c r="DD178" s="83">
        <v>115</v>
      </c>
      <c r="DE178" s="83">
        <v>116</v>
      </c>
      <c r="DF178" s="83">
        <v>117</v>
      </c>
      <c r="DG178" s="83">
        <v>118</v>
      </c>
      <c r="DH178" s="83">
        <v>119</v>
      </c>
      <c r="DI178" s="83">
        <v>120</v>
      </c>
      <c r="DJ178" s="83">
        <v>121</v>
      </c>
      <c r="DK178" s="83">
        <v>122</v>
      </c>
      <c r="DL178" s="83">
        <v>123</v>
      </c>
      <c r="DM178" s="83">
        <v>124</v>
      </c>
      <c r="DN178" s="83">
        <v>125</v>
      </c>
      <c r="DO178" s="83">
        <v>126</v>
      </c>
      <c r="DP178" s="83">
        <v>127</v>
      </c>
      <c r="DQ178" s="83">
        <v>128</v>
      </c>
      <c r="DR178" s="83">
        <v>129</v>
      </c>
      <c r="DS178" s="83">
        <v>130</v>
      </c>
    </row>
    <row r="179" spans="2:123">
      <c r="B179" s="3" t="s">
        <v>125</v>
      </c>
      <c r="C179" s="78">
        <v>0.121</v>
      </c>
      <c r="D179" s="79">
        <f t="shared" ref="D179:L179" si="29">C179+($M$179-$C$179)/10</f>
        <v>0.1191</v>
      </c>
      <c r="E179" s="79">
        <f t="shared" si="29"/>
        <v>0.1172</v>
      </c>
      <c r="F179" s="79">
        <f t="shared" si="29"/>
        <v>0.1153</v>
      </c>
      <c r="G179" s="79">
        <f t="shared" si="29"/>
        <v>0.1134</v>
      </c>
      <c r="H179" s="79">
        <f t="shared" si="29"/>
        <v>0.1115</v>
      </c>
      <c r="I179" s="79">
        <f t="shared" si="29"/>
        <v>0.1096</v>
      </c>
      <c r="J179" s="79">
        <f t="shared" si="29"/>
        <v>0.1077</v>
      </c>
      <c r="K179" s="79">
        <f t="shared" si="29"/>
        <v>0.10580000000000001</v>
      </c>
      <c r="L179" s="79">
        <f t="shared" si="29"/>
        <v>0.10390000000000001</v>
      </c>
      <c r="M179" s="78">
        <v>0.10199999999999999</v>
      </c>
      <c r="N179" s="79">
        <f t="shared" ref="N179:V179" si="30">M179+($W$179-$M$179)/10</f>
        <v>0.10049999999999999</v>
      </c>
      <c r="O179" s="79">
        <f t="shared" si="30"/>
        <v>9.8999999999999991E-2</v>
      </c>
      <c r="P179" s="79">
        <f t="shared" si="30"/>
        <v>9.7499999999999989E-2</v>
      </c>
      <c r="Q179" s="79">
        <f t="shared" si="30"/>
        <v>9.5999999999999988E-2</v>
      </c>
      <c r="R179" s="79">
        <f t="shared" si="30"/>
        <v>9.4499999999999987E-2</v>
      </c>
      <c r="S179" s="79">
        <f t="shared" si="30"/>
        <v>9.2999999999999985E-2</v>
      </c>
      <c r="T179" s="79">
        <f t="shared" si="30"/>
        <v>9.1499999999999984E-2</v>
      </c>
      <c r="U179" s="79">
        <f t="shared" si="30"/>
        <v>8.9999999999999983E-2</v>
      </c>
      <c r="V179" s="79">
        <f t="shared" si="30"/>
        <v>8.8499999999999981E-2</v>
      </c>
      <c r="W179" s="78">
        <v>8.6999999999999994E-2</v>
      </c>
      <c r="X179" s="79">
        <f t="shared" ref="X179:AF179" si="31">W179+($AG$179-$W$179)/10</f>
        <v>8.5799999999999987E-2</v>
      </c>
      <c r="Y179" s="79">
        <f t="shared" si="31"/>
        <v>8.4599999999999981E-2</v>
      </c>
      <c r="Z179" s="79">
        <f t="shared" si="31"/>
        <v>8.3399999999999974E-2</v>
      </c>
      <c r="AA179" s="79">
        <f t="shared" si="31"/>
        <v>8.2199999999999968E-2</v>
      </c>
      <c r="AB179" s="79">
        <f t="shared" si="31"/>
        <v>8.0999999999999961E-2</v>
      </c>
      <c r="AC179" s="79">
        <f t="shared" si="31"/>
        <v>7.9799999999999954E-2</v>
      </c>
      <c r="AD179" s="79">
        <f t="shared" si="31"/>
        <v>7.8599999999999948E-2</v>
      </c>
      <c r="AE179" s="79">
        <f t="shared" si="31"/>
        <v>7.7399999999999941E-2</v>
      </c>
      <c r="AF179" s="79">
        <f t="shared" si="31"/>
        <v>7.6199999999999934E-2</v>
      </c>
      <c r="AG179" s="78">
        <v>7.4999999999999997E-2</v>
      </c>
      <c r="AH179" s="79">
        <f t="shared" ref="AH179:AP179" si="32">AG179+($AQ$179-$AG$179)/10</f>
        <v>7.4099999999999999E-2</v>
      </c>
      <c r="AI179" s="79">
        <f t="shared" si="32"/>
        <v>7.3200000000000001E-2</v>
      </c>
      <c r="AJ179" s="79">
        <f t="shared" si="32"/>
        <v>7.2300000000000003E-2</v>
      </c>
      <c r="AK179" s="79">
        <f t="shared" si="32"/>
        <v>7.1400000000000005E-2</v>
      </c>
      <c r="AL179" s="79">
        <f t="shared" si="32"/>
        <v>7.0500000000000007E-2</v>
      </c>
      <c r="AM179" s="79">
        <f t="shared" si="32"/>
        <v>6.9600000000000009E-2</v>
      </c>
      <c r="AN179" s="79">
        <f t="shared" si="32"/>
        <v>6.8700000000000011E-2</v>
      </c>
      <c r="AO179" s="79">
        <f t="shared" si="32"/>
        <v>6.7800000000000013E-2</v>
      </c>
      <c r="AP179" s="79">
        <f t="shared" si="32"/>
        <v>6.6900000000000015E-2</v>
      </c>
      <c r="AQ179" s="78">
        <v>6.6000000000000003E-2</v>
      </c>
      <c r="AR179" s="79">
        <f t="shared" ref="AR179:AZ179" si="33">AQ179+($BA$179-$AQ$179)/10</f>
        <v>6.54E-2</v>
      </c>
      <c r="AS179" s="79">
        <f t="shared" si="33"/>
        <v>6.4799999999999996E-2</v>
      </c>
      <c r="AT179" s="79">
        <f t="shared" si="33"/>
        <v>6.4199999999999993E-2</v>
      </c>
      <c r="AU179" s="79">
        <f t="shared" si="33"/>
        <v>6.359999999999999E-2</v>
      </c>
      <c r="AV179" s="79">
        <f t="shared" si="33"/>
        <v>6.2999999999999987E-2</v>
      </c>
      <c r="AW179" s="79">
        <f t="shared" si="33"/>
        <v>6.2399999999999983E-2</v>
      </c>
      <c r="AX179" s="79">
        <f t="shared" si="33"/>
        <v>6.179999999999998E-2</v>
      </c>
      <c r="AY179" s="79">
        <f t="shared" si="33"/>
        <v>6.1199999999999977E-2</v>
      </c>
      <c r="AZ179" s="79">
        <f t="shared" si="33"/>
        <v>6.0599999999999973E-2</v>
      </c>
      <c r="BA179" s="78">
        <v>0.06</v>
      </c>
      <c r="BB179" s="79">
        <f t="shared" ref="BB179:BJ179" si="34">BA179+($BK$179-$BA$179)/10</f>
        <v>5.9799999999999999E-2</v>
      </c>
      <c r="BC179" s="79">
        <f t="shared" si="34"/>
        <v>5.96E-2</v>
      </c>
      <c r="BD179" s="79">
        <f t="shared" si="34"/>
        <v>5.9400000000000001E-2</v>
      </c>
      <c r="BE179" s="79">
        <f t="shared" si="34"/>
        <v>5.9200000000000003E-2</v>
      </c>
      <c r="BF179" s="79">
        <f t="shared" si="34"/>
        <v>5.9000000000000004E-2</v>
      </c>
      <c r="BG179" s="79">
        <f t="shared" si="34"/>
        <v>5.8800000000000005E-2</v>
      </c>
      <c r="BH179" s="79">
        <f t="shared" si="34"/>
        <v>5.8600000000000006E-2</v>
      </c>
      <c r="BI179" s="79">
        <f t="shared" si="34"/>
        <v>5.8400000000000007E-2</v>
      </c>
      <c r="BJ179" s="79">
        <f t="shared" si="34"/>
        <v>5.8200000000000009E-2</v>
      </c>
      <c r="BK179" s="78">
        <v>5.8000000000000003E-2</v>
      </c>
      <c r="BL179" s="79">
        <f t="shared" ref="BL179:BT179" si="35">BK179+($BU$179-$BK$179)/10</f>
        <v>5.8099999999999999E-2</v>
      </c>
      <c r="BM179" s="79">
        <f t="shared" si="35"/>
        <v>5.8200000000000002E-2</v>
      </c>
      <c r="BN179" s="79">
        <f t="shared" si="35"/>
        <v>5.8300000000000005E-2</v>
      </c>
      <c r="BO179" s="79">
        <f t="shared" si="35"/>
        <v>5.8400000000000007E-2</v>
      </c>
      <c r="BP179" s="79">
        <f t="shared" si="35"/>
        <v>5.850000000000001E-2</v>
      </c>
      <c r="BQ179" s="79">
        <f t="shared" si="35"/>
        <v>5.8600000000000013E-2</v>
      </c>
      <c r="BR179" s="79">
        <f t="shared" si="35"/>
        <v>5.8700000000000016E-2</v>
      </c>
      <c r="BS179" s="79">
        <f t="shared" si="35"/>
        <v>5.8800000000000019E-2</v>
      </c>
      <c r="BT179" s="79">
        <f t="shared" si="35"/>
        <v>5.8900000000000022E-2</v>
      </c>
      <c r="BU179" s="78">
        <v>5.8999999999999997E-2</v>
      </c>
      <c r="BV179" s="79">
        <f t="shared" ref="BV179:CD179" si="36">BU179+($CE$179-$BU$179)/10</f>
        <v>5.9399999999999994E-2</v>
      </c>
      <c r="BW179" s="79">
        <f t="shared" si="36"/>
        <v>5.9799999999999992E-2</v>
      </c>
      <c r="BX179" s="79">
        <f t="shared" si="36"/>
        <v>6.019999999999999E-2</v>
      </c>
      <c r="BY179" s="79">
        <f t="shared" si="36"/>
        <v>6.0599999999999987E-2</v>
      </c>
      <c r="BZ179" s="79">
        <f t="shared" si="36"/>
        <v>6.0999999999999985E-2</v>
      </c>
      <c r="CA179" s="79">
        <f t="shared" si="36"/>
        <v>6.1399999999999982E-2</v>
      </c>
      <c r="CB179" s="79">
        <f t="shared" si="36"/>
        <v>6.179999999999998E-2</v>
      </c>
      <c r="CC179" s="79">
        <f t="shared" si="36"/>
        <v>6.2199999999999978E-2</v>
      </c>
      <c r="CD179" s="79">
        <f t="shared" si="36"/>
        <v>6.2599999999999975E-2</v>
      </c>
      <c r="CE179" s="78">
        <v>6.3E-2</v>
      </c>
      <c r="CF179" s="79">
        <f t="shared" ref="CF179:CN179" si="37">CE179+($CO$179-$CE$179)/10</f>
        <v>6.3700000000000007E-2</v>
      </c>
      <c r="CG179" s="79">
        <f t="shared" si="37"/>
        <v>6.4400000000000013E-2</v>
      </c>
      <c r="CH179" s="79">
        <f t="shared" si="37"/>
        <v>6.5100000000000019E-2</v>
      </c>
      <c r="CI179" s="79">
        <f t="shared" si="37"/>
        <v>6.5800000000000025E-2</v>
      </c>
      <c r="CJ179" s="79">
        <f t="shared" si="37"/>
        <v>6.6500000000000031E-2</v>
      </c>
      <c r="CK179" s="79">
        <f t="shared" si="37"/>
        <v>6.7200000000000037E-2</v>
      </c>
      <c r="CL179" s="79">
        <f t="shared" si="37"/>
        <v>6.7900000000000044E-2</v>
      </c>
      <c r="CM179" s="79">
        <f t="shared" si="37"/>
        <v>6.860000000000005E-2</v>
      </c>
      <c r="CN179" s="79">
        <f t="shared" si="37"/>
        <v>6.9300000000000056E-2</v>
      </c>
      <c r="CO179" s="78">
        <v>7.0000000000000007E-2</v>
      </c>
      <c r="CP179" s="79">
        <f t="shared" ref="CP179:CX179" si="38">CO179+($CY$179-$CO$179)/10</f>
        <v>7.110000000000001E-2</v>
      </c>
      <c r="CQ179" s="79">
        <f t="shared" si="38"/>
        <v>7.2200000000000014E-2</v>
      </c>
      <c r="CR179" s="79">
        <f t="shared" si="38"/>
        <v>7.3300000000000018E-2</v>
      </c>
      <c r="CS179" s="79">
        <f t="shared" si="38"/>
        <v>7.4400000000000022E-2</v>
      </c>
      <c r="CT179" s="79">
        <f t="shared" si="38"/>
        <v>7.5500000000000025E-2</v>
      </c>
      <c r="CU179" s="79">
        <f t="shared" si="38"/>
        <v>7.6600000000000029E-2</v>
      </c>
      <c r="CV179" s="79">
        <f t="shared" si="38"/>
        <v>7.7700000000000033E-2</v>
      </c>
      <c r="CW179" s="79">
        <f t="shared" si="38"/>
        <v>7.8800000000000037E-2</v>
      </c>
      <c r="CX179" s="79">
        <f t="shared" si="38"/>
        <v>7.990000000000004E-2</v>
      </c>
      <c r="CY179" s="78">
        <v>8.1000000000000003E-2</v>
      </c>
      <c r="CZ179" s="79">
        <f t="shared" ref="CZ179:DH179" si="39">CY179+($DI$179-$CY$179)/10</f>
        <v>8.2400000000000001E-2</v>
      </c>
      <c r="DA179" s="79">
        <f t="shared" si="39"/>
        <v>8.3799999999999999E-2</v>
      </c>
      <c r="DB179" s="79">
        <f t="shared" si="39"/>
        <v>8.5199999999999998E-2</v>
      </c>
      <c r="DC179" s="79">
        <f t="shared" si="39"/>
        <v>8.6599999999999996E-2</v>
      </c>
      <c r="DD179" s="79">
        <f t="shared" si="39"/>
        <v>8.7999999999999995E-2</v>
      </c>
      <c r="DE179" s="79">
        <f t="shared" si="39"/>
        <v>8.9399999999999993E-2</v>
      </c>
      <c r="DF179" s="79">
        <f t="shared" si="39"/>
        <v>9.0799999999999992E-2</v>
      </c>
      <c r="DG179" s="79">
        <f t="shared" si="39"/>
        <v>9.219999999999999E-2</v>
      </c>
      <c r="DH179" s="79">
        <f t="shared" si="39"/>
        <v>9.3599999999999989E-2</v>
      </c>
      <c r="DI179" s="78">
        <v>9.5000000000000001E-2</v>
      </c>
      <c r="DJ179" s="79">
        <f t="shared" ref="DJ179:DR179" si="40">DI179+($DS$179-$DI$179)/10</f>
        <v>9.6700000000000008E-2</v>
      </c>
      <c r="DK179" s="79">
        <f t="shared" si="40"/>
        <v>9.8400000000000015E-2</v>
      </c>
      <c r="DL179" s="79">
        <f t="shared" si="40"/>
        <v>0.10010000000000002</v>
      </c>
      <c r="DM179" s="79">
        <f t="shared" si="40"/>
        <v>0.10180000000000003</v>
      </c>
      <c r="DN179" s="79">
        <f t="shared" si="40"/>
        <v>0.10350000000000004</v>
      </c>
      <c r="DO179" s="79">
        <f t="shared" si="40"/>
        <v>0.10520000000000004</v>
      </c>
      <c r="DP179" s="79">
        <f t="shared" si="40"/>
        <v>0.10690000000000005</v>
      </c>
      <c r="DQ179" s="79">
        <f t="shared" si="40"/>
        <v>0.10860000000000006</v>
      </c>
      <c r="DR179" s="79">
        <f t="shared" si="40"/>
        <v>0.11030000000000006</v>
      </c>
      <c r="DS179" s="78">
        <v>0.112</v>
      </c>
    </row>
    <row r="180" spans="2:123">
      <c r="B180" s="3" t="s">
        <v>126</v>
      </c>
      <c r="C180" s="78">
        <v>0.111</v>
      </c>
      <c r="D180" s="79">
        <f t="shared" ref="D180:L180" si="41">C180+($M$180-$C$180)/10</f>
        <v>0.1091</v>
      </c>
      <c r="E180" s="79">
        <f t="shared" si="41"/>
        <v>0.1072</v>
      </c>
      <c r="F180" s="79">
        <f t="shared" si="41"/>
        <v>0.1053</v>
      </c>
      <c r="G180" s="79">
        <f t="shared" si="41"/>
        <v>0.10340000000000001</v>
      </c>
      <c r="H180" s="79">
        <f t="shared" si="41"/>
        <v>0.10150000000000001</v>
      </c>
      <c r="I180" s="79">
        <f t="shared" si="41"/>
        <v>9.9600000000000008E-2</v>
      </c>
      <c r="J180" s="79">
        <f t="shared" si="41"/>
        <v>9.7700000000000009E-2</v>
      </c>
      <c r="K180" s="79">
        <f t="shared" si="41"/>
        <v>9.580000000000001E-2</v>
      </c>
      <c r="L180" s="79">
        <f t="shared" si="41"/>
        <v>9.3900000000000011E-2</v>
      </c>
      <c r="M180" s="78">
        <v>9.1999999999999998E-2</v>
      </c>
      <c r="N180" s="79">
        <f t="shared" ref="N180:V180" si="42">M180+($W$180-$M$180)/10</f>
        <v>9.0499999999999997E-2</v>
      </c>
      <c r="O180" s="79">
        <f t="shared" si="42"/>
        <v>8.8999999999999996E-2</v>
      </c>
      <c r="P180" s="79">
        <f t="shared" si="42"/>
        <v>8.7499999999999994E-2</v>
      </c>
      <c r="Q180" s="79">
        <f t="shared" si="42"/>
        <v>8.5999999999999993E-2</v>
      </c>
      <c r="R180" s="79">
        <f t="shared" si="42"/>
        <v>8.4499999999999992E-2</v>
      </c>
      <c r="S180" s="79">
        <f t="shared" si="42"/>
        <v>8.299999999999999E-2</v>
      </c>
      <c r="T180" s="79">
        <f t="shared" si="42"/>
        <v>8.1499999999999989E-2</v>
      </c>
      <c r="U180" s="79">
        <f t="shared" si="42"/>
        <v>7.9999999999999988E-2</v>
      </c>
      <c r="V180" s="79">
        <f t="shared" si="42"/>
        <v>7.8499999999999986E-2</v>
      </c>
      <c r="W180" s="78">
        <v>7.6999999999999999E-2</v>
      </c>
      <c r="X180" s="79">
        <f t="shared" ref="X180:AF180" si="43">W180+($AG$180-$W$180)/10</f>
        <v>7.5800000000000006E-2</v>
      </c>
      <c r="Y180" s="79">
        <f t="shared" si="43"/>
        <v>7.46E-2</v>
      </c>
      <c r="Z180" s="79">
        <f t="shared" si="43"/>
        <v>7.3399999999999993E-2</v>
      </c>
      <c r="AA180" s="79">
        <f t="shared" si="43"/>
        <v>7.2199999999999986E-2</v>
      </c>
      <c r="AB180" s="79">
        <f t="shared" si="43"/>
        <v>7.099999999999998E-2</v>
      </c>
      <c r="AC180" s="79">
        <f t="shared" si="43"/>
        <v>6.9799999999999973E-2</v>
      </c>
      <c r="AD180" s="79">
        <f t="shared" si="43"/>
        <v>6.8599999999999967E-2</v>
      </c>
      <c r="AE180" s="79">
        <f t="shared" si="43"/>
        <v>6.739999999999996E-2</v>
      </c>
      <c r="AF180" s="79">
        <f t="shared" si="43"/>
        <v>6.6199999999999953E-2</v>
      </c>
      <c r="AG180" s="78">
        <v>6.5000000000000002E-2</v>
      </c>
      <c r="AH180" s="79">
        <f t="shared" ref="AH180:AP180" si="44">AG180+($AQ$180-$AG$180)/10</f>
        <v>6.4100000000000004E-2</v>
      </c>
      <c r="AI180" s="79">
        <f t="shared" si="44"/>
        <v>6.3200000000000006E-2</v>
      </c>
      <c r="AJ180" s="79">
        <f t="shared" si="44"/>
        <v>6.2300000000000008E-2</v>
      </c>
      <c r="AK180" s="79">
        <f t="shared" si="44"/>
        <v>6.140000000000001E-2</v>
      </c>
      <c r="AL180" s="79">
        <f t="shared" si="44"/>
        <v>6.0500000000000012E-2</v>
      </c>
      <c r="AM180" s="79">
        <f t="shared" si="44"/>
        <v>5.9600000000000014E-2</v>
      </c>
      <c r="AN180" s="79">
        <f t="shared" si="44"/>
        <v>5.8700000000000016E-2</v>
      </c>
      <c r="AO180" s="79">
        <f t="shared" si="44"/>
        <v>5.7800000000000018E-2</v>
      </c>
      <c r="AP180" s="79">
        <f t="shared" si="44"/>
        <v>5.690000000000002E-2</v>
      </c>
      <c r="AQ180" s="78">
        <v>5.6000000000000001E-2</v>
      </c>
      <c r="AR180" s="79">
        <f t="shared" ref="AR180:AZ180" si="45">AQ180+($BA$180-$AQ$180)/10</f>
        <v>5.5400000000000005E-2</v>
      </c>
      <c r="AS180" s="79">
        <f t="shared" si="45"/>
        <v>5.4800000000000001E-2</v>
      </c>
      <c r="AT180" s="79">
        <f t="shared" si="45"/>
        <v>5.4199999999999998E-2</v>
      </c>
      <c r="AU180" s="79">
        <f t="shared" si="45"/>
        <v>5.3599999999999995E-2</v>
      </c>
      <c r="AV180" s="79">
        <f t="shared" si="45"/>
        <v>5.2999999999999992E-2</v>
      </c>
      <c r="AW180" s="79">
        <f t="shared" si="45"/>
        <v>5.2399999999999988E-2</v>
      </c>
      <c r="AX180" s="79">
        <f t="shared" si="45"/>
        <v>5.1799999999999985E-2</v>
      </c>
      <c r="AY180" s="79">
        <f t="shared" si="45"/>
        <v>5.1199999999999982E-2</v>
      </c>
      <c r="AZ180" s="79">
        <f t="shared" si="45"/>
        <v>5.0599999999999978E-2</v>
      </c>
      <c r="BA180" s="78">
        <v>0.05</v>
      </c>
      <c r="BB180" s="79">
        <f t="shared" ref="BB180:BJ180" si="46">BA180+($BK$180-$BA$180)/10</f>
        <v>4.9800000000000004E-2</v>
      </c>
      <c r="BC180" s="79">
        <f t="shared" si="46"/>
        <v>4.9600000000000005E-2</v>
      </c>
      <c r="BD180" s="79">
        <f t="shared" si="46"/>
        <v>4.9400000000000006E-2</v>
      </c>
      <c r="BE180" s="79">
        <f t="shared" si="46"/>
        <v>4.9200000000000008E-2</v>
      </c>
      <c r="BF180" s="79">
        <f t="shared" si="46"/>
        <v>4.9000000000000009E-2</v>
      </c>
      <c r="BG180" s="79">
        <f t="shared" si="46"/>
        <v>4.880000000000001E-2</v>
      </c>
      <c r="BH180" s="79">
        <f t="shared" si="46"/>
        <v>4.8600000000000011E-2</v>
      </c>
      <c r="BI180" s="79">
        <f t="shared" si="46"/>
        <v>4.8400000000000012E-2</v>
      </c>
      <c r="BJ180" s="79">
        <f t="shared" si="46"/>
        <v>4.8200000000000014E-2</v>
      </c>
      <c r="BK180" s="78">
        <v>4.8000000000000001E-2</v>
      </c>
      <c r="BL180" s="79">
        <f t="shared" ref="BL180:BT180" si="47">BK180+($BU$180-$BK$180)/10</f>
        <v>4.8100000000000004E-2</v>
      </c>
      <c r="BM180" s="79">
        <f t="shared" si="47"/>
        <v>4.8200000000000007E-2</v>
      </c>
      <c r="BN180" s="79">
        <f t="shared" si="47"/>
        <v>4.830000000000001E-2</v>
      </c>
      <c r="BO180" s="79">
        <f t="shared" si="47"/>
        <v>4.8400000000000012E-2</v>
      </c>
      <c r="BP180" s="79">
        <f t="shared" si="47"/>
        <v>4.8500000000000015E-2</v>
      </c>
      <c r="BQ180" s="79">
        <f t="shared" si="47"/>
        <v>4.8600000000000018E-2</v>
      </c>
      <c r="BR180" s="79">
        <f t="shared" si="47"/>
        <v>4.8700000000000021E-2</v>
      </c>
      <c r="BS180" s="79">
        <f t="shared" si="47"/>
        <v>4.8800000000000024E-2</v>
      </c>
      <c r="BT180" s="79">
        <f t="shared" si="47"/>
        <v>4.8900000000000027E-2</v>
      </c>
      <c r="BU180" s="78">
        <v>4.9000000000000002E-2</v>
      </c>
      <c r="BV180" s="79">
        <f t="shared" ref="BV180:CD180" si="48">BU180+($CE$180-$BU$180)/10</f>
        <v>4.9399999999999999E-2</v>
      </c>
      <c r="BW180" s="79">
        <f t="shared" si="48"/>
        <v>4.9799999999999997E-2</v>
      </c>
      <c r="BX180" s="79">
        <f t="shared" si="48"/>
        <v>5.0199999999999995E-2</v>
      </c>
      <c r="BY180" s="79">
        <f t="shared" si="48"/>
        <v>5.0599999999999992E-2</v>
      </c>
      <c r="BZ180" s="79">
        <f t="shared" si="48"/>
        <v>5.099999999999999E-2</v>
      </c>
      <c r="CA180" s="79">
        <f t="shared" si="48"/>
        <v>5.1399999999999987E-2</v>
      </c>
      <c r="CB180" s="79">
        <f t="shared" si="48"/>
        <v>5.1799999999999985E-2</v>
      </c>
      <c r="CC180" s="79">
        <f t="shared" si="48"/>
        <v>5.2199999999999983E-2</v>
      </c>
      <c r="CD180" s="79">
        <f t="shared" si="48"/>
        <v>5.259999999999998E-2</v>
      </c>
      <c r="CE180" s="78">
        <v>5.2999999999999999E-2</v>
      </c>
      <c r="CF180" s="79">
        <f t="shared" ref="CF180:CN180" si="49">CE180+($CO$180-$CE$180)/10</f>
        <v>5.3699999999999998E-2</v>
      </c>
      <c r="CG180" s="79">
        <f t="shared" si="49"/>
        <v>5.4399999999999997E-2</v>
      </c>
      <c r="CH180" s="79">
        <f t="shared" si="49"/>
        <v>5.5099999999999996E-2</v>
      </c>
      <c r="CI180" s="79">
        <f t="shared" si="49"/>
        <v>5.5799999999999995E-2</v>
      </c>
      <c r="CJ180" s="79">
        <f t="shared" si="49"/>
        <v>5.6499999999999995E-2</v>
      </c>
      <c r="CK180" s="79">
        <f t="shared" si="49"/>
        <v>5.7199999999999994E-2</v>
      </c>
      <c r="CL180" s="79">
        <f t="shared" si="49"/>
        <v>5.7899999999999993E-2</v>
      </c>
      <c r="CM180" s="79">
        <f t="shared" si="49"/>
        <v>5.8599999999999992E-2</v>
      </c>
      <c r="CN180" s="79">
        <f t="shared" si="49"/>
        <v>5.9299999999999992E-2</v>
      </c>
      <c r="CO180" s="78">
        <v>0.06</v>
      </c>
      <c r="CP180" s="79">
        <f t="shared" ref="CP180:CX180" si="50">CO180+($CY$180-$CO$180)/10</f>
        <v>6.1099999999999995E-2</v>
      </c>
      <c r="CQ180" s="79">
        <f t="shared" si="50"/>
        <v>6.2199999999999991E-2</v>
      </c>
      <c r="CR180" s="79">
        <f t="shared" si="50"/>
        <v>6.3299999999999995E-2</v>
      </c>
      <c r="CS180" s="79">
        <f t="shared" si="50"/>
        <v>6.4399999999999999E-2</v>
      </c>
      <c r="CT180" s="79">
        <f t="shared" si="50"/>
        <v>6.5500000000000003E-2</v>
      </c>
      <c r="CU180" s="79">
        <f t="shared" si="50"/>
        <v>6.6600000000000006E-2</v>
      </c>
      <c r="CV180" s="79">
        <f t="shared" si="50"/>
        <v>6.770000000000001E-2</v>
      </c>
      <c r="CW180" s="79">
        <f t="shared" si="50"/>
        <v>6.8800000000000014E-2</v>
      </c>
      <c r="CX180" s="79">
        <f t="shared" si="50"/>
        <v>6.9900000000000018E-2</v>
      </c>
      <c r="CY180" s="78">
        <v>7.0999999999999994E-2</v>
      </c>
      <c r="CZ180" s="79">
        <f t="shared" ref="CZ180:DH180" si="51">CY180+($DI$180-$CY$180)/10</f>
        <v>7.2399999999999992E-2</v>
      </c>
      <c r="DA180" s="79">
        <f t="shared" si="51"/>
        <v>7.3799999999999991E-2</v>
      </c>
      <c r="DB180" s="79">
        <f t="shared" si="51"/>
        <v>7.5199999999999989E-2</v>
      </c>
      <c r="DC180" s="79">
        <f t="shared" si="51"/>
        <v>7.6599999999999988E-2</v>
      </c>
      <c r="DD180" s="79">
        <f t="shared" si="51"/>
        <v>7.7999999999999986E-2</v>
      </c>
      <c r="DE180" s="79">
        <f t="shared" si="51"/>
        <v>7.9399999999999984E-2</v>
      </c>
      <c r="DF180" s="79">
        <f t="shared" si="51"/>
        <v>8.0799999999999983E-2</v>
      </c>
      <c r="DG180" s="79">
        <f t="shared" si="51"/>
        <v>8.2199999999999981E-2</v>
      </c>
      <c r="DH180" s="79">
        <f t="shared" si="51"/>
        <v>8.359999999999998E-2</v>
      </c>
      <c r="DI180" s="78">
        <v>8.5000000000000006E-2</v>
      </c>
      <c r="DJ180" s="79">
        <f t="shared" ref="DJ180:DR180" si="52">DI180+($DS$180-$DI$180)/10</f>
        <v>8.6699999999999999E-2</v>
      </c>
      <c r="DK180" s="79">
        <f t="shared" si="52"/>
        <v>8.8399999999999992E-2</v>
      </c>
      <c r="DL180" s="79">
        <f t="shared" si="52"/>
        <v>9.0099999999999986E-2</v>
      </c>
      <c r="DM180" s="79">
        <f t="shared" si="52"/>
        <v>9.1799999999999979E-2</v>
      </c>
      <c r="DN180" s="79">
        <f t="shared" si="52"/>
        <v>9.3499999999999972E-2</v>
      </c>
      <c r="DO180" s="79">
        <f t="shared" si="52"/>
        <v>9.5199999999999965E-2</v>
      </c>
      <c r="DP180" s="79">
        <f t="shared" si="52"/>
        <v>9.6899999999999958E-2</v>
      </c>
      <c r="DQ180" s="79">
        <f t="shared" si="52"/>
        <v>9.8599999999999952E-2</v>
      </c>
      <c r="DR180" s="79">
        <f t="shared" si="52"/>
        <v>0.10029999999999994</v>
      </c>
      <c r="DS180" s="78">
        <v>0.10199999999999999</v>
      </c>
    </row>
    <row r="181" spans="2:123">
      <c r="B181" s="3" t="s">
        <v>127</v>
      </c>
      <c r="C181" s="78">
        <v>0.14899999999999999</v>
      </c>
      <c r="D181" s="79">
        <f t="shared" ref="D181:L181" si="53">C181+($M$181-$C$181)/10</f>
        <v>0.14710000000000001</v>
      </c>
      <c r="E181" s="79">
        <f t="shared" si="53"/>
        <v>0.1452</v>
      </c>
      <c r="F181" s="79">
        <f t="shared" si="53"/>
        <v>0.14329999999999998</v>
      </c>
      <c r="G181" s="79">
        <f t="shared" si="53"/>
        <v>0.14139999999999997</v>
      </c>
      <c r="H181" s="79">
        <f t="shared" si="53"/>
        <v>0.13949999999999996</v>
      </c>
      <c r="I181" s="79">
        <f t="shared" si="53"/>
        <v>0.13759999999999994</v>
      </c>
      <c r="J181" s="79">
        <f t="shared" si="53"/>
        <v>0.13569999999999993</v>
      </c>
      <c r="K181" s="79">
        <f t="shared" si="53"/>
        <v>0.13379999999999992</v>
      </c>
      <c r="L181" s="79">
        <f t="shared" si="53"/>
        <v>0.13189999999999991</v>
      </c>
      <c r="M181" s="78">
        <v>0.13</v>
      </c>
      <c r="N181" s="79">
        <f t="shared" ref="N181:V181" si="54">M181+($W$181-$M$181)/10</f>
        <v>0.1285</v>
      </c>
      <c r="O181" s="79">
        <f t="shared" si="54"/>
        <v>0.127</v>
      </c>
      <c r="P181" s="79">
        <f t="shared" si="54"/>
        <v>0.1255</v>
      </c>
      <c r="Q181" s="79">
        <f t="shared" si="54"/>
        <v>0.124</v>
      </c>
      <c r="R181" s="79">
        <f t="shared" si="54"/>
        <v>0.1225</v>
      </c>
      <c r="S181" s="79">
        <f t="shared" si="54"/>
        <v>0.121</v>
      </c>
      <c r="T181" s="79">
        <f t="shared" si="54"/>
        <v>0.1195</v>
      </c>
      <c r="U181" s="79">
        <f t="shared" si="54"/>
        <v>0.11799999999999999</v>
      </c>
      <c r="V181" s="79">
        <f t="shared" si="54"/>
        <v>0.11649999999999999</v>
      </c>
      <c r="W181" s="78">
        <v>0.115</v>
      </c>
      <c r="X181" s="79">
        <f t="shared" ref="X181:AF181" si="55">W181+($AG$181-$W$181)/10</f>
        <v>0.1138</v>
      </c>
      <c r="Y181" s="79">
        <f t="shared" si="55"/>
        <v>0.11259999999999999</v>
      </c>
      <c r="Z181" s="79">
        <f t="shared" si="55"/>
        <v>0.11139999999999999</v>
      </c>
      <c r="AA181" s="79">
        <f t="shared" si="55"/>
        <v>0.11019999999999998</v>
      </c>
      <c r="AB181" s="79">
        <f t="shared" si="55"/>
        <v>0.10899999999999997</v>
      </c>
      <c r="AC181" s="79">
        <f t="shared" si="55"/>
        <v>0.10779999999999997</v>
      </c>
      <c r="AD181" s="79">
        <f t="shared" si="55"/>
        <v>0.10659999999999996</v>
      </c>
      <c r="AE181" s="79">
        <f t="shared" si="55"/>
        <v>0.10539999999999995</v>
      </c>
      <c r="AF181" s="79">
        <f t="shared" si="55"/>
        <v>0.10419999999999995</v>
      </c>
      <c r="AG181" s="78">
        <v>0.10299999999999999</v>
      </c>
      <c r="AH181" s="79">
        <f t="shared" ref="AH181:AP181" si="56">AG181+($AQ$181-$AG$181)/10</f>
        <v>0.1021</v>
      </c>
      <c r="AI181" s="79">
        <f t="shared" si="56"/>
        <v>0.1012</v>
      </c>
      <c r="AJ181" s="79">
        <f t="shared" si="56"/>
        <v>0.1003</v>
      </c>
      <c r="AK181" s="79">
        <f t="shared" si="56"/>
        <v>9.9400000000000002E-2</v>
      </c>
      <c r="AL181" s="79">
        <f t="shared" si="56"/>
        <v>9.8500000000000004E-2</v>
      </c>
      <c r="AM181" s="79">
        <f t="shared" si="56"/>
        <v>9.7600000000000006E-2</v>
      </c>
      <c r="AN181" s="79">
        <f t="shared" si="56"/>
        <v>9.6700000000000008E-2</v>
      </c>
      <c r="AO181" s="79">
        <f t="shared" si="56"/>
        <v>9.580000000000001E-2</v>
      </c>
      <c r="AP181" s="79">
        <f t="shared" si="56"/>
        <v>9.4900000000000012E-2</v>
      </c>
      <c r="AQ181" s="78">
        <v>9.4E-2</v>
      </c>
      <c r="AR181" s="79">
        <f t="shared" ref="AR181:AZ181" si="57">AQ181+($BA$181-$AQ$181)/10</f>
        <v>9.3399999999999997E-2</v>
      </c>
      <c r="AS181" s="79">
        <f t="shared" si="57"/>
        <v>9.2799999999999994E-2</v>
      </c>
      <c r="AT181" s="79">
        <f t="shared" si="57"/>
        <v>9.219999999999999E-2</v>
      </c>
      <c r="AU181" s="79">
        <f t="shared" si="57"/>
        <v>9.1599999999999987E-2</v>
      </c>
      <c r="AV181" s="79">
        <f t="shared" si="57"/>
        <v>9.0999999999999984E-2</v>
      </c>
      <c r="AW181" s="79">
        <f t="shared" si="57"/>
        <v>9.039999999999998E-2</v>
      </c>
      <c r="AX181" s="79">
        <f t="shared" si="57"/>
        <v>8.9799999999999977E-2</v>
      </c>
      <c r="AY181" s="79">
        <f t="shared" si="57"/>
        <v>8.9199999999999974E-2</v>
      </c>
      <c r="AZ181" s="79">
        <f t="shared" si="57"/>
        <v>8.859999999999997E-2</v>
      </c>
      <c r="BA181" s="78">
        <v>8.7999999999999995E-2</v>
      </c>
      <c r="BB181" s="79">
        <f t="shared" ref="BB181:BJ181" si="58">BA181+($BK$181-$BA$181)/10</f>
        <v>8.7799999999999989E-2</v>
      </c>
      <c r="BC181" s="79">
        <f t="shared" si="58"/>
        <v>8.7599999999999983E-2</v>
      </c>
      <c r="BD181" s="79">
        <f t="shared" si="58"/>
        <v>8.7399999999999978E-2</v>
      </c>
      <c r="BE181" s="79">
        <f t="shared" si="58"/>
        <v>8.7199999999999972E-2</v>
      </c>
      <c r="BF181" s="79">
        <f t="shared" si="58"/>
        <v>8.6999999999999966E-2</v>
      </c>
      <c r="BG181" s="79">
        <f t="shared" si="58"/>
        <v>8.6799999999999961E-2</v>
      </c>
      <c r="BH181" s="79">
        <f t="shared" si="58"/>
        <v>8.6599999999999955E-2</v>
      </c>
      <c r="BI181" s="79">
        <f t="shared" si="58"/>
        <v>8.6399999999999949E-2</v>
      </c>
      <c r="BJ181" s="79">
        <f t="shared" si="58"/>
        <v>8.6199999999999943E-2</v>
      </c>
      <c r="BK181" s="78">
        <v>8.5999999999999993E-2</v>
      </c>
      <c r="BL181" s="79">
        <f t="shared" ref="BL181:BT181" si="59">BK181+($BU$181-$BK$181)/10</f>
        <v>8.6099999999999996E-2</v>
      </c>
      <c r="BM181" s="79">
        <f t="shared" si="59"/>
        <v>8.6199999999999999E-2</v>
      </c>
      <c r="BN181" s="79">
        <f t="shared" si="59"/>
        <v>8.6300000000000002E-2</v>
      </c>
      <c r="BO181" s="79">
        <f t="shared" si="59"/>
        <v>8.6400000000000005E-2</v>
      </c>
      <c r="BP181" s="79">
        <f t="shared" si="59"/>
        <v>8.6500000000000007E-2</v>
      </c>
      <c r="BQ181" s="79">
        <f t="shared" si="59"/>
        <v>8.660000000000001E-2</v>
      </c>
      <c r="BR181" s="79">
        <f t="shared" si="59"/>
        <v>8.6700000000000013E-2</v>
      </c>
      <c r="BS181" s="79">
        <f t="shared" si="59"/>
        <v>8.6800000000000016E-2</v>
      </c>
      <c r="BT181" s="79">
        <f t="shared" si="59"/>
        <v>8.6900000000000019E-2</v>
      </c>
      <c r="BU181" s="78">
        <v>8.6999999999999994E-2</v>
      </c>
      <c r="BV181" s="79">
        <f t="shared" ref="BV181:CD181" si="60">BU181+($CE$181-$BU$181)/10</f>
        <v>8.7399999999999992E-2</v>
      </c>
      <c r="BW181" s="79">
        <f t="shared" si="60"/>
        <v>8.7799999999999989E-2</v>
      </c>
      <c r="BX181" s="79">
        <f t="shared" si="60"/>
        <v>8.8199999999999987E-2</v>
      </c>
      <c r="BY181" s="79">
        <f t="shared" si="60"/>
        <v>8.8599999999999984E-2</v>
      </c>
      <c r="BZ181" s="79">
        <f t="shared" si="60"/>
        <v>8.8999999999999982E-2</v>
      </c>
      <c r="CA181" s="79">
        <f t="shared" si="60"/>
        <v>8.9399999999999979E-2</v>
      </c>
      <c r="CB181" s="79">
        <f t="shared" si="60"/>
        <v>8.9799999999999977E-2</v>
      </c>
      <c r="CC181" s="79">
        <f t="shared" si="60"/>
        <v>9.0199999999999975E-2</v>
      </c>
      <c r="CD181" s="79">
        <f t="shared" si="60"/>
        <v>9.0599999999999972E-2</v>
      </c>
      <c r="CE181" s="78">
        <v>9.0999999999999998E-2</v>
      </c>
      <c r="CF181" s="79">
        <f t="shared" ref="CF181:CN181" si="61">CE181+($CO$181-$CE$181)/10</f>
        <v>9.1700000000000004E-2</v>
      </c>
      <c r="CG181" s="79">
        <f t="shared" si="61"/>
        <v>9.240000000000001E-2</v>
      </c>
      <c r="CH181" s="79">
        <f t="shared" si="61"/>
        <v>9.3100000000000016E-2</v>
      </c>
      <c r="CI181" s="79">
        <f t="shared" si="61"/>
        <v>9.3800000000000022E-2</v>
      </c>
      <c r="CJ181" s="79">
        <f t="shared" si="61"/>
        <v>9.4500000000000028E-2</v>
      </c>
      <c r="CK181" s="79">
        <f t="shared" si="61"/>
        <v>9.5200000000000035E-2</v>
      </c>
      <c r="CL181" s="79">
        <f t="shared" si="61"/>
        <v>9.5900000000000041E-2</v>
      </c>
      <c r="CM181" s="79">
        <f t="shared" si="61"/>
        <v>9.6600000000000047E-2</v>
      </c>
      <c r="CN181" s="79">
        <f t="shared" si="61"/>
        <v>9.7300000000000053E-2</v>
      </c>
      <c r="CO181" s="78">
        <v>9.8000000000000004E-2</v>
      </c>
      <c r="CP181" s="79">
        <f t="shared" ref="CP181:CX181" si="62">CO181+($CY$181-$CO$181)/10</f>
        <v>9.9100000000000008E-2</v>
      </c>
      <c r="CQ181" s="79">
        <f t="shared" si="62"/>
        <v>0.10020000000000001</v>
      </c>
      <c r="CR181" s="79">
        <f t="shared" si="62"/>
        <v>0.10130000000000002</v>
      </c>
      <c r="CS181" s="79">
        <f t="shared" si="62"/>
        <v>0.10240000000000002</v>
      </c>
      <c r="CT181" s="79">
        <f t="shared" si="62"/>
        <v>0.10350000000000002</v>
      </c>
      <c r="CU181" s="79">
        <f t="shared" si="62"/>
        <v>0.10460000000000003</v>
      </c>
      <c r="CV181" s="79">
        <f t="shared" si="62"/>
        <v>0.10570000000000003</v>
      </c>
      <c r="CW181" s="79">
        <f t="shared" si="62"/>
        <v>0.10680000000000003</v>
      </c>
      <c r="CX181" s="79">
        <f t="shared" si="62"/>
        <v>0.10790000000000004</v>
      </c>
      <c r="CY181" s="78">
        <v>0.109</v>
      </c>
      <c r="CZ181" s="79"/>
      <c r="DA181" s="79"/>
      <c r="DB181" s="79"/>
      <c r="DC181" s="79"/>
      <c r="DD181" s="79"/>
      <c r="DE181" s="79"/>
      <c r="DF181" s="79"/>
      <c r="DG181" s="79"/>
      <c r="DH181" s="79"/>
      <c r="DI181" s="78"/>
      <c r="DJ181" s="79"/>
      <c r="DK181" s="79"/>
      <c r="DL181" s="79"/>
      <c r="DM181" s="79"/>
      <c r="DN181" s="79"/>
      <c r="DO181" s="79"/>
      <c r="DP181" s="79"/>
      <c r="DQ181" s="79"/>
      <c r="DR181" s="79"/>
      <c r="DS181" s="78"/>
    </row>
    <row r="182" spans="2:123">
      <c r="B182" s="3" t="s">
        <v>128</v>
      </c>
      <c r="C182" s="78">
        <v>0.69099999999999995</v>
      </c>
      <c r="D182" s="79">
        <f t="shared" ref="D182:L182" si="63">C182+($M$182-$C$182)/10</f>
        <v>0.67649999999999999</v>
      </c>
      <c r="E182" s="79">
        <f t="shared" si="63"/>
        <v>0.66200000000000003</v>
      </c>
      <c r="F182" s="79">
        <f t="shared" si="63"/>
        <v>0.64750000000000008</v>
      </c>
      <c r="G182" s="79">
        <f t="shared" si="63"/>
        <v>0.63300000000000012</v>
      </c>
      <c r="H182" s="79">
        <f t="shared" si="63"/>
        <v>0.61850000000000016</v>
      </c>
      <c r="I182" s="79">
        <f t="shared" si="63"/>
        <v>0.6040000000000002</v>
      </c>
      <c r="J182" s="79">
        <f t="shared" si="63"/>
        <v>0.58950000000000025</v>
      </c>
      <c r="K182" s="79">
        <f t="shared" si="63"/>
        <v>0.57500000000000029</v>
      </c>
      <c r="L182" s="79">
        <f t="shared" si="63"/>
        <v>0.56050000000000033</v>
      </c>
      <c r="M182" s="78">
        <v>0.54600000000000004</v>
      </c>
      <c r="N182" s="79">
        <f t="shared" ref="N182:V182" si="64">M182+($W$182-$M$182)/10</f>
        <v>0.53550000000000009</v>
      </c>
      <c r="O182" s="79">
        <f t="shared" si="64"/>
        <v>0.52500000000000013</v>
      </c>
      <c r="P182" s="79">
        <f t="shared" si="64"/>
        <v>0.51450000000000018</v>
      </c>
      <c r="Q182" s="79">
        <f t="shared" si="64"/>
        <v>0.50400000000000023</v>
      </c>
      <c r="R182" s="79">
        <f t="shared" si="64"/>
        <v>0.49350000000000022</v>
      </c>
      <c r="S182" s="79">
        <f t="shared" si="64"/>
        <v>0.48300000000000021</v>
      </c>
      <c r="T182" s="79">
        <f t="shared" si="64"/>
        <v>0.4725000000000002</v>
      </c>
      <c r="U182" s="79">
        <f t="shared" si="64"/>
        <v>0.46200000000000019</v>
      </c>
      <c r="V182" s="79">
        <f t="shared" si="64"/>
        <v>0.45150000000000018</v>
      </c>
      <c r="W182" s="78">
        <v>0.441</v>
      </c>
      <c r="X182" s="79">
        <f t="shared" ref="X182:AF182" si="65">W182+($AG$182-$W$182)/10</f>
        <v>0.434</v>
      </c>
      <c r="Y182" s="79">
        <f t="shared" si="65"/>
        <v>0.42699999999999999</v>
      </c>
      <c r="Z182" s="79">
        <f t="shared" si="65"/>
        <v>0.42</v>
      </c>
      <c r="AA182" s="79">
        <f t="shared" si="65"/>
        <v>0.41299999999999998</v>
      </c>
      <c r="AB182" s="79">
        <f t="shared" si="65"/>
        <v>0.40599999999999997</v>
      </c>
      <c r="AC182" s="79">
        <f t="shared" si="65"/>
        <v>0.39899999999999997</v>
      </c>
      <c r="AD182" s="79">
        <f t="shared" si="65"/>
        <v>0.39199999999999996</v>
      </c>
      <c r="AE182" s="79">
        <f t="shared" si="65"/>
        <v>0.38499999999999995</v>
      </c>
      <c r="AF182" s="79">
        <f t="shared" si="65"/>
        <v>0.37799999999999995</v>
      </c>
      <c r="AG182" s="78">
        <v>0.371</v>
      </c>
      <c r="AH182" s="79">
        <f t="shared" ref="AH182:AP182" si="66">AG182+($AQ$182-$AG$182)/10</f>
        <v>0.3669</v>
      </c>
      <c r="AI182" s="79">
        <f t="shared" si="66"/>
        <v>0.36280000000000001</v>
      </c>
      <c r="AJ182" s="79">
        <f t="shared" si="66"/>
        <v>0.35870000000000002</v>
      </c>
      <c r="AK182" s="79">
        <f t="shared" si="66"/>
        <v>0.35460000000000003</v>
      </c>
      <c r="AL182" s="79">
        <f t="shared" si="66"/>
        <v>0.35050000000000003</v>
      </c>
      <c r="AM182" s="79">
        <f t="shared" si="66"/>
        <v>0.34640000000000004</v>
      </c>
      <c r="AN182" s="79">
        <f t="shared" si="66"/>
        <v>0.34230000000000005</v>
      </c>
      <c r="AO182" s="79">
        <f t="shared" si="66"/>
        <v>0.33820000000000006</v>
      </c>
      <c r="AP182" s="79">
        <f t="shared" si="66"/>
        <v>0.33410000000000006</v>
      </c>
      <c r="AQ182" s="78">
        <v>0.33</v>
      </c>
      <c r="AR182" s="79">
        <f t="shared" ref="AR182:AZ182" si="67">AQ182+($BA$182-$AQ$182)/10</f>
        <v>0.3281</v>
      </c>
      <c r="AS182" s="79">
        <f t="shared" si="67"/>
        <v>0.32619999999999999</v>
      </c>
      <c r="AT182" s="79">
        <f t="shared" si="67"/>
        <v>0.32429999999999998</v>
      </c>
      <c r="AU182" s="79">
        <f t="shared" si="67"/>
        <v>0.32239999999999996</v>
      </c>
      <c r="AV182" s="79">
        <f t="shared" si="67"/>
        <v>0.32049999999999995</v>
      </c>
      <c r="AW182" s="79">
        <f t="shared" si="67"/>
        <v>0.31859999999999994</v>
      </c>
      <c r="AX182" s="79">
        <f t="shared" si="67"/>
        <v>0.31669999999999993</v>
      </c>
      <c r="AY182" s="79">
        <f t="shared" si="67"/>
        <v>0.31479999999999991</v>
      </c>
      <c r="AZ182" s="79">
        <f t="shared" si="67"/>
        <v>0.3128999999999999</v>
      </c>
      <c r="BA182" s="78">
        <v>0.311</v>
      </c>
      <c r="BB182" s="79">
        <f t="shared" ref="BB182:BJ182" si="68">BA182+($BK$182-$BA$182)/10</f>
        <v>0.31080000000000002</v>
      </c>
      <c r="BC182" s="79">
        <f t="shared" si="68"/>
        <v>0.31060000000000004</v>
      </c>
      <c r="BD182" s="79">
        <f t="shared" si="68"/>
        <v>0.31040000000000006</v>
      </c>
      <c r="BE182" s="79">
        <f t="shared" si="68"/>
        <v>0.31020000000000009</v>
      </c>
      <c r="BF182" s="79">
        <f t="shared" si="68"/>
        <v>0.31000000000000011</v>
      </c>
      <c r="BG182" s="79">
        <f t="shared" si="68"/>
        <v>0.30980000000000013</v>
      </c>
      <c r="BH182" s="79">
        <f t="shared" si="68"/>
        <v>0.30960000000000015</v>
      </c>
      <c r="BI182" s="79">
        <f t="shared" si="68"/>
        <v>0.30940000000000017</v>
      </c>
      <c r="BJ182" s="79">
        <f t="shared" si="68"/>
        <v>0.3092000000000002</v>
      </c>
      <c r="BK182" s="78">
        <v>0.309</v>
      </c>
      <c r="BL182" s="79">
        <f t="shared" ref="BL182:BT182" si="69">BK182+($BU$182-$BK$182)/10</f>
        <v>0.30990000000000001</v>
      </c>
      <c r="BM182" s="79">
        <f t="shared" si="69"/>
        <v>0.31080000000000002</v>
      </c>
      <c r="BN182" s="79">
        <f t="shared" si="69"/>
        <v>0.31170000000000003</v>
      </c>
      <c r="BO182" s="79">
        <f t="shared" si="69"/>
        <v>0.31260000000000004</v>
      </c>
      <c r="BP182" s="79">
        <f t="shared" si="69"/>
        <v>0.31350000000000006</v>
      </c>
      <c r="BQ182" s="79">
        <f t="shared" si="69"/>
        <v>0.31440000000000007</v>
      </c>
      <c r="BR182" s="79">
        <f t="shared" si="69"/>
        <v>0.31530000000000008</v>
      </c>
      <c r="BS182" s="79">
        <f t="shared" si="69"/>
        <v>0.31620000000000009</v>
      </c>
      <c r="BT182" s="79">
        <f t="shared" si="69"/>
        <v>0.3171000000000001</v>
      </c>
      <c r="BU182" s="78">
        <v>0.318</v>
      </c>
      <c r="BV182" s="79">
        <f t="shared" ref="BV182:CD182" si="70">BU182+($CE$182-$BU$182)/10</f>
        <v>0.31940000000000002</v>
      </c>
      <c r="BW182" s="79">
        <f t="shared" si="70"/>
        <v>0.32080000000000003</v>
      </c>
      <c r="BX182" s="79">
        <f t="shared" si="70"/>
        <v>0.32220000000000004</v>
      </c>
      <c r="BY182" s="79">
        <f t="shared" si="70"/>
        <v>0.32360000000000005</v>
      </c>
      <c r="BZ182" s="79">
        <f t="shared" si="70"/>
        <v>0.32500000000000007</v>
      </c>
      <c r="CA182" s="79">
        <f t="shared" si="70"/>
        <v>0.32640000000000008</v>
      </c>
      <c r="CB182" s="79">
        <f t="shared" si="70"/>
        <v>0.32780000000000009</v>
      </c>
      <c r="CC182" s="79">
        <f t="shared" si="70"/>
        <v>0.3292000000000001</v>
      </c>
      <c r="CD182" s="79">
        <f t="shared" si="70"/>
        <v>0.33060000000000012</v>
      </c>
      <c r="CE182" s="78">
        <v>0.33200000000000002</v>
      </c>
      <c r="CF182" s="79"/>
      <c r="CG182" s="79"/>
      <c r="CH182" s="79"/>
      <c r="CI182" s="79"/>
      <c r="CJ182" s="79"/>
      <c r="CK182" s="79"/>
      <c r="CL182" s="79"/>
      <c r="CM182" s="79"/>
      <c r="CN182" s="79"/>
      <c r="CO182" s="78"/>
      <c r="CP182" s="79"/>
      <c r="CQ182" s="79"/>
      <c r="CR182" s="79"/>
      <c r="CS182" s="79"/>
      <c r="CT182" s="79"/>
      <c r="CU182" s="79"/>
      <c r="CV182" s="79"/>
      <c r="CW182" s="79"/>
      <c r="CX182" s="79"/>
      <c r="CY182" s="78"/>
      <c r="CZ182" s="79"/>
      <c r="DA182" s="79"/>
      <c r="DB182" s="79"/>
      <c r="DC182" s="79"/>
      <c r="DD182" s="79"/>
      <c r="DE182" s="79"/>
      <c r="DF182" s="79"/>
      <c r="DG182" s="79"/>
      <c r="DH182" s="79"/>
      <c r="DI182" s="78"/>
      <c r="DJ182" s="79"/>
      <c r="DK182" s="79"/>
      <c r="DL182" s="79"/>
      <c r="DM182" s="79"/>
      <c r="DN182" s="79"/>
      <c r="DO182" s="79"/>
      <c r="DP182" s="79"/>
      <c r="DQ182" s="79"/>
      <c r="DR182" s="79"/>
      <c r="DS182" s="78"/>
    </row>
    <row r="183" spans="2:123">
      <c r="B183" s="3" t="s">
        <v>129</v>
      </c>
      <c r="C183" s="78">
        <v>0.83199999999999996</v>
      </c>
      <c r="D183" s="79">
        <f t="shared" ref="D183:L183" si="71">C183+($M$183-$C$183)/10</f>
        <v>0.8175</v>
      </c>
      <c r="E183" s="79">
        <f t="shared" si="71"/>
        <v>0.80300000000000005</v>
      </c>
      <c r="F183" s="79">
        <f t="shared" si="71"/>
        <v>0.78850000000000009</v>
      </c>
      <c r="G183" s="79">
        <f t="shared" si="71"/>
        <v>0.77400000000000013</v>
      </c>
      <c r="H183" s="79">
        <f t="shared" si="71"/>
        <v>0.75950000000000017</v>
      </c>
      <c r="I183" s="79">
        <f t="shared" si="71"/>
        <v>0.74500000000000022</v>
      </c>
      <c r="J183" s="79">
        <f t="shared" si="71"/>
        <v>0.73050000000000026</v>
      </c>
      <c r="K183" s="79">
        <f t="shared" si="71"/>
        <v>0.7160000000000003</v>
      </c>
      <c r="L183" s="79">
        <f t="shared" si="71"/>
        <v>0.70150000000000035</v>
      </c>
      <c r="M183" s="78">
        <v>0.68700000000000006</v>
      </c>
      <c r="N183" s="79">
        <f t="shared" ref="N183:V183" si="72">M183+($W$183-$M$183)/10</f>
        <v>0.6765000000000001</v>
      </c>
      <c r="O183" s="79">
        <f t="shared" si="72"/>
        <v>0.66600000000000015</v>
      </c>
      <c r="P183" s="79">
        <f t="shared" si="72"/>
        <v>0.65550000000000019</v>
      </c>
      <c r="Q183" s="79">
        <f t="shared" si="72"/>
        <v>0.64500000000000024</v>
      </c>
      <c r="R183" s="79">
        <f t="shared" si="72"/>
        <v>0.63450000000000029</v>
      </c>
      <c r="S183" s="79">
        <f t="shared" si="72"/>
        <v>0.62400000000000033</v>
      </c>
      <c r="T183" s="79">
        <f t="shared" si="72"/>
        <v>0.61350000000000038</v>
      </c>
      <c r="U183" s="79">
        <f t="shared" si="72"/>
        <v>0.60300000000000042</v>
      </c>
      <c r="V183" s="79">
        <f t="shared" si="72"/>
        <v>0.59250000000000047</v>
      </c>
      <c r="W183" s="78">
        <v>0.58199999999999996</v>
      </c>
      <c r="X183" s="79">
        <f t="shared" ref="X183:AF183" si="73">W183+($AG$183-$W$183)/10</f>
        <v>0.57499999999999996</v>
      </c>
      <c r="Y183" s="79">
        <f t="shared" si="73"/>
        <v>0.56799999999999995</v>
      </c>
      <c r="Z183" s="79">
        <f t="shared" si="73"/>
        <v>0.56099999999999994</v>
      </c>
      <c r="AA183" s="79">
        <f t="shared" si="73"/>
        <v>0.55399999999999994</v>
      </c>
      <c r="AB183" s="79">
        <f t="shared" si="73"/>
        <v>0.54699999999999993</v>
      </c>
      <c r="AC183" s="79">
        <f t="shared" si="73"/>
        <v>0.53999999999999992</v>
      </c>
      <c r="AD183" s="79">
        <f t="shared" si="73"/>
        <v>0.53299999999999992</v>
      </c>
      <c r="AE183" s="79">
        <f t="shared" si="73"/>
        <v>0.52599999999999991</v>
      </c>
      <c r="AF183" s="79">
        <f t="shared" si="73"/>
        <v>0.51899999999999991</v>
      </c>
      <c r="AG183" s="78">
        <v>0.51200000000000001</v>
      </c>
      <c r="AH183" s="79">
        <f t="shared" ref="AH183:AP183" si="74">AG183+($AQ$183-$AG$183)/10</f>
        <v>0.50790000000000002</v>
      </c>
      <c r="AI183" s="79">
        <f t="shared" si="74"/>
        <v>0.50380000000000003</v>
      </c>
      <c r="AJ183" s="79">
        <f t="shared" si="74"/>
        <v>0.49970000000000003</v>
      </c>
      <c r="AK183" s="79">
        <f t="shared" si="74"/>
        <v>0.49560000000000004</v>
      </c>
      <c r="AL183" s="79">
        <f t="shared" si="74"/>
        <v>0.49150000000000005</v>
      </c>
      <c r="AM183" s="79">
        <f t="shared" si="74"/>
        <v>0.48740000000000006</v>
      </c>
      <c r="AN183" s="79">
        <f t="shared" si="74"/>
        <v>0.48330000000000006</v>
      </c>
      <c r="AO183" s="79">
        <f t="shared" si="74"/>
        <v>0.47920000000000007</v>
      </c>
      <c r="AP183" s="79">
        <f t="shared" si="74"/>
        <v>0.47510000000000008</v>
      </c>
      <c r="AQ183" s="78">
        <v>0.47099999999999997</v>
      </c>
      <c r="AR183" s="79">
        <f t="shared" ref="AR183:AZ183" si="75">AQ183+($BA$183-$AQ$183)/10</f>
        <v>0.46909999999999996</v>
      </c>
      <c r="AS183" s="79">
        <f t="shared" si="75"/>
        <v>0.46719999999999995</v>
      </c>
      <c r="AT183" s="79">
        <f t="shared" si="75"/>
        <v>0.46529999999999994</v>
      </c>
      <c r="AU183" s="79">
        <f t="shared" si="75"/>
        <v>0.46339999999999992</v>
      </c>
      <c r="AV183" s="79">
        <f t="shared" si="75"/>
        <v>0.46149999999999991</v>
      </c>
      <c r="AW183" s="79">
        <f t="shared" si="75"/>
        <v>0.4595999999999999</v>
      </c>
      <c r="AX183" s="79">
        <f t="shared" si="75"/>
        <v>0.45769999999999988</v>
      </c>
      <c r="AY183" s="79">
        <f t="shared" si="75"/>
        <v>0.45579999999999987</v>
      </c>
      <c r="AZ183" s="79">
        <f t="shared" si="75"/>
        <v>0.45389999999999986</v>
      </c>
      <c r="BA183" s="78">
        <v>0.45200000000000001</v>
      </c>
      <c r="BB183" s="79">
        <f t="shared" ref="BB183:BJ183" si="76">BA183+($BK$183-$BA$183)/10</f>
        <v>0.45180000000000003</v>
      </c>
      <c r="BC183" s="79">
        <f t="shared" si="76"/>
        <v>0.45160000000000006</v>
      </c>
      <c r="BD183" s="79">
        <f t="shared" si="76"/>
        <v>0.45140000000000008</v>
      </c>
      <c r="BE183" s="79">
        <f t="shared" si="76"/>
        <v>0.4512000000000001</v>
      </c>
      <c r="BF183" s="79">
        <f t="shared" si="76"/>
        <v>0.45100000000000012</v>
      </c>
      <c r="BG183" s="79">
        <f t="shared" si="76"/>
        <v>0.45080000000000015</v>
      </c>
      <c r="BH183" s="79">
        <f t="shared" si="76"/>
        <v>0.45060000000000017</v>
      </c>
      <c r="BI183" s="79">
        <f t="shared" si="76"/>
        <v>0.45040000000000019</v>
      </c>
      <c r="BJ183" s="79">
        <f t="shared" si="76"/>
        <v>0.45020000000000021</v>
      </c>
      <c r="BK183" s="78">
        <v>0.45</v>
      </c>
      <c r="BL183" s="79">
        <f t="shared" ref="BL183:BT183" si="77">BK183+($BU$183-$BK$183)/10</f>
        <v>0.45090000000000002</v>
      </c>
      <c r="BM183" s="79">
        <f t="shared" si="77"/>
        <v>0.45180000000000003</v>
      </c>
      <c r="BN183" s="79">
        <f t="shared" si="77"/>
        <v>0.45270000000000005</v>
      </c>
      <c r="BO183" s="79">
        <f t="shared" si="77"/>
        <v>0.45360000000000006</v>
      </c>
      <c r="BP183" s="79">
        <f t="shared" si="77"/>
        <v>0.45450000000000007</v>
      </c>
      <c r="BQ183" s="79">
        <f t="shared" si="77"/>
        <v>0.45540000000000008</v>
      </c>
      <c r="BR183" s="79">
        <f t="shared" si="77"/>
        <v>0.45630000000000009</v>
      </c>
      <c r="BS183" s="79">
        <f t="shared" si="77"/>
        <v>0.45720000000000011</v>
      </c>
      <c r="BT183" s="79">
        <f t="shared" si="77"/>
        <v>0.45810000000000012</v>
      </c>
      <c r="BU183" s="78">
        <v>0.45900000000000002</v>
      </c>
      <c r="BV183" s="79">
        <f t="shared" ref="BV183:CD183" si="78">BU183+($CE$183-$BU$183)/10</f>
        <v>0.4607</v>
      </c>
      <c r="BW183" s="79">
        <f t="shared" si="78"/>
        <v>0.46239999999999998</v>
      </c>
      <c r="BX183" s="79">
        <f t="shared" si="78"/>
        <v>0.46409999999999996</v>
      </c>
      <c r="BY183" s="79">
        <f t="shared" si="78"/>
        <v>0.46579999999999994</v>
      </c>
      <c r="BZ183" s="79">
        <f t="shared" si="78"/>
        <v>0.46749999999999992</v>
      </c>
      <c r="CA183" s="79">
        <f t="shared" si="78"/>
        <v>0.46919999999999989</v>
      </c>
      <c r="CB183" s="79">
        <f t="shared" si="78"/>
        <v>0.47089999999999987</v>
      </c>
      <c r="CC183" s="79">
        <f t="shared" si="78"/>
        <v>0.47259999999999985</v>
      </c>
      <c r="CD183" s="79">
        <f t="shared" si="78"/>
        <v>0.47429999999999983</v>
      </c>
      <c r="CE183" s="78">
        <v>0.47599999999999998</v>
      </c>
      <c r="CF183" s="79"/>
      <c r="CG183" s="79"/>
      <c r="CH183" s="79"/>
      <c r="CI183" s="79"/>
      <c r="CJ183" s="79"/>
      <c r="CK183" s="79"/>
      <c r="CL183" s="79"/>
      <c r="CM183" s="79"/>
      <c r="CN183" s="79"/>
      <c r="CO183" s="78"/>
      <c r="CP183" s="79"/>
      <c r="CQ183" s="79"/>
      <c r="CR183" s="79"/>
      <c r="CS183" s="79"/>
      <c r="CT183" s="79"/>
      <c r="CU183" s="79"/>
      <c r="CV183" s="79"/>
      <c r="CW183" s="79"/>
      <c r="CX183" s="79"/>
      <c r="CY183" s="78"/>
      <c r="CZ183" s="79"/>
      <c r="DA183" s="79"/>
      <c r="DB183" s="79"/>
      <c r="DC183" s="79"/>
      <c r="DD183" s="79"/>
      <c r="DE183" s="79"/>
      <c r="DF183" s="79"/>
      <c r="DG183" s="79"/>
      <c r="DH183" s="79"/>
      <c r="DI183" s="78"/>
      <c r="DJ183" s="79"/>
      <c r="DK183" s="79"/>
      <c r="DL183" s="79"/>
      <c r="DM183" s="79"/>
      <c r="DN183" s="79"/>
      <c r="DO183" s="79"/>
      <c r="DP183" s="79"/>
      <c r="DQ183" s="79"/>
      <c r="DR183" s="79"/>
      <c r="DS183" s="78"/>
    </row>
    <row r="184" spans="2:123">
      <c r="B184" s="3" t="s">
        <v>77</v>
      </c>
      <c r="C184" s="78">
        <v>0.65100000000000002</v>
      </c>
      <c r="D184" s="79">
        <f t="shared" ref="D184:L184" si="79">C184+($M$184-$C$184)/10</f>
        <v>0.63650000000000007</v>
      </c>
      <c r="E184" s="79">
        <f t="shared" si="79"/>
        <v>0.62200000000000011</v>
      </c>
      <c r="F184" s="79">
        <f t="shared" si="79"/>
        <v>0.60750000000000015</v>
      </c>
      <c r="G184" s="79">
        <f t="shared" si="79"/>
        <v>0.59300000000000019</v>
      </c>
      <c r="H184" s="79">
        <f t="shared" si="79"/>
        <v>0.57850000000000024</v>
      </c>
      <c r="I184" s="79">
        <f t="shared" si="79"/>
        <v>0.56400000000000028</v>
      </c>
      <c r="J184" s="79">
        <f t="shared" si="79"/>
        <v>0.54950000000000032</v>
      </c>
      <c r="K184" s="79">
        <f t="shared" si="79"/>
        <v>0.53500000000000036</v>
      </c>
      <c r="L184" s="79">
        <f t="shared" si="79"/>
        <v>0.52050000000000041</v>
      </c>
      <c r="M184" s="78">
        <v>0.50600000000000001</v>
      </c>
      <c r="N184" s="79">
        <f t="shared" ref="N184:V184" si="80">M184+($W$184-$M$184)/10</f>
        <v>0.4955</v>
      </c>
      <c r="O184" s="79">
        <f t="shared" si="80"/>
        <v>0.48499999999999999</v>
      </c>
      <c r="P184" s="79">
        <f t="shared" si="80"/>
        <v>0.47449999999999998</v>
      </c>
      <c r="Q184" s="79">
        <f t="shared" si="80"/>
        <v>0.46399999999999997</v>
      </c>
      <c r="R184" s="79">
        <f t="shared" si="80"/>
        <v>0.45349999999999996</v>
      </c>
      <c r="S184" s="79">
        <f t="shared" si="80"/>
        <v>0.44299999999999995</v>
      </c>
      <c r="T184" s="79">
        <f t="shared" si="80"/>
        <v>0.43249999999999994</v>
      </c>
      <c r="U184" s="79">
        <f t="shared" si="80"/>
        <v>0.42199999999999993</v>
      </c>
      <c r="V184" s="79">
        <f t="shared" si="80"/>
        <v>0.41149999999999992</v>
      </c>
      <c r="W184" s="78">
        <v>0.40100000000000002</v>
      </c>
      <c r="X184" s="79">
        <f t="shared" ref="X184:AF184" si="81">W184+($AG$184-$W$184)/10</f>
        <v>0.39400000000000002</v>
      </c>
      <c r="Y184" s="79">
        <f t="shared" si="81"/>
        <v>0.38700000000000001</v>
      </c>
      <c r="Z184" s="79">
        <f t="shared" si="81"/>
        <v>0.38</v>
      </c>
      <c r="AA184" s="79">
        <f t="shared" si="81"/>
        <v>0.373</v>
      </c>
      <c r="AB184" s="79">
        <f t="shared" si="81"/>
        <v>0.36599999999999999</v>
      </c>
      <c r="AC184" s="79">
        <f t="shared" si="81"/>
        <v>0.35899999999999999</v>
      </c>
      <c r="AD184" s="79">
        <f t="shared" si="81"/>
        <v>0.35199999999999998</v>
      </c>
      <c r="AE184" s="79">
        <f t="shared" si="81"/>
        <v>0.34499999999999997</v>
      </c>
      <c r="AF184" s="79">
        <f t="shared" si="81"/>
        <v>0.33799999999999997</v>
      </c>
      <c r="AG184" s="78">
        <v>0.33100000000000002</v>
      </c>
      <c r="AH184" s="79">
        <f t="shared" ref="AH184:AP184" si="82">AG184+($AQ$184-$AG$184)/10</f>
        <v>0.32690000000000002</v>
      </c>
      <c r="AI184" s="79">
        <f t="shared" si="82"/>
        <v>0.32280000000000003</v>
      </c>
      <c r="AJ184" s="79">
        <f t="shared" si="82"/>
        <v>0.31870000000000004</v>
      </c>
      <c r="AK184" s="79">
        <f t="shared" si="82"/>
        <v>0.31460000000000005</v>
      </c>
      <c r="AL184" s="79">
        <f t="shared" si="82"/>
        <v>0.31050000000000005</v>
      </c>
      <c r="AM184" s="79">
        <f t="shared" si="82"/>
        <v>0.30640000000000006</v>
      </c>
      <c r="AN184" s="79">
        <f t="shared" si="82"/>
        <v>0.30230000000000007</v>
      </c>
      <c r="AO184" s="79">
        <f t="shared" si="82"/>
        <v>0.29820000000000008</v>
      </c>
      <c r="AP184" s="79">
        <f t="shared" si="82"/>
        <v>0.29410000000000008</v>
      </c>
      <c r="AQ184" s="78">
        <v>0.28999999999999998</v>
      </c>
      <c r="AR184" s="79">
        <f t="shared" ref="AR184:AZ184" si="83">AQ184+($BA$184-$AQ$184)/10</f>
        <v>0.28809999999999997</v>
      </c>
      <c r="AS184" s="79">
        <f t="shared" si="83"/>
        <v>0.28619999999999995</v>
      </c>
      <c r="AT184" s="79">
        <f t="shared" si="83"/>
        <v>0.28429999999999994</v>
      </c>
      <c r="AU184" s="79">
        <f t="shared" si="83"/>
        <v>0.28239999999999993</v>
      </c>
      <c r="AV184" s="79">
        <f t="shared" si="83"/>
        <v>0.28049999999999992</v>
      </c>
      <c r="AW184" s="79">
        <f t="shared" si="83"/>
        <v>0.2785999999999999</v>
      </c>
      <c r="AX184" s="79">
        <f t="shared" si="83"/>
        <v>0.27669999999999989</v>
      </c>
      <c r="AY184" s="79">
        <f t="shared" si="83"/>
        <v>0.27479999999999988</v>
      </c>
      <c r="AZ184" s="79">
        <f t="shared" si="83"/>
        <v>0.27289999999999986</v>
      </c>
      <c r="BA184" s="78">
        <v>0.27100000000000002</v>
      </c>
      <c r="BB184" s="79">
        <f t="shared" ref="BB184:BJ184" si="84">BA184+($BK$184-$BA$184)/10</f>
        <v>0.27080000000000004</v>
      </c>
      <c r="BC184" s="79">
        <f t="shared" si="84"/>
        <v>0.27060000000000006</v>
      </c>
      <c r="BD184" s="79">
        <f t="shared" si="84"/>
        <v>0.27040000000000008</v>
      </c>
      <c r="BE184" s="79">
        <f t="shared" si="84"/>
        <v>0.27020000000000011</v>
      </c>
      <c r="BF184" s="79">
        <f t="shared" si="84"/>
        <v>0.27000000000000013</v>
      </c>
      <c r="BG184" s="79">
        <f t="shared" si="84"/>
        <v>0.26980000000000015</v>
      </c>
      <c r="BH184" s="79">
        <f t="shared" si="84"/>
        <v>0.26960000000000017</v>
      </c>
      <c r="BI184" s="79">
        <f t="shared" si="84"/>
        <v>0.26940000000000019</v>
      </c>
      <c r="BJ184" s="79">
        <f t="shared" si="84"/>
        <v>0.26920000000000022</v>
      </c>
      <c r="BK184" s="78">
        <v>0.26900000000000002</v>
      </c>
      <c r="BL184" s="79">
        <f t="shared" ref="BL184:BT184" si="85">BK184+($BU$184-$BK$184)/10</f>
        <v>0.26990000000000003</v>
      </c>
      <c r="BM184" s="79">
        <f t="shared" si="85"/>
        <v>0.27080000000000004</v>
      </c>
      <c r="BN184" s="79">
        <f t="shared" si="85"/>
        <v>0.27170000000000005</v>
      </c>
      <c r="BO184" s="79">
        <f t="shared" si="85"/>
        <v>0.27260000000000006</v>
      </c>
      <c r="BP184" s="79">
        <f t="shared" si="85"/>
        <v>0.27350000000000008</v>
      </c>
      <c r="BQ184" s="79">
        <f t="shared" si="85"/>
        <v>0.27440000000000009</v>
      </c>
      <c r="BR184" s="79">
        <f t="shared" si="85"/>
        <v>0.2753000000000001</v>
      </c>
      <c r="BS184" s="79">
        <f t="shared" si="85"/>
        <v>0.27620000000000011</v>
      </c>
      <c r="BT184" s="79">
        <f t="shared" si="85"/>
        <v>0.27710000000000012</v>
      </c>
      <c r="BU184" s="78">
        <v>0.27800000000000002</v>
      </c>
      <c r="BV184" s="79">
        <f t="shared" ref="BV184:CD184" si="86">BU184+($CE$184-$BU$184)/10</f>
        <v>0.27940000000000004</v>
      </c>
      <c r="BW184" s="79">
        <f t="shared" si="86"/>
        <v>0.28080000000000005</v>
      </c>
      <c r="BX184" s="79">
        <f t="shared" si="86"/>
        <v>0.28220000000000006</v>
      </c>
      <c r="BY184" s="79">
        <f t="shared" si="86"/>
        <v>0.28360000000000007</v>
      </c>
      <c r="BZ184" s="79">
        <f t="shared" si="86"/>
        <v>0.28500000000000009</v>
      </c>
      <c r="CA184" s="79">
        <f t="shared" si="86"/>
        <v>0.2864000000000001</v>
      </c>
      <c r="CB184" s="79">
        <f t="shared" si="86"/>
        <v>0.28780000000000011</v>
      </c>
      <c r="CC184" s="79">
        <f t="shared" si="86"/>
        <v>0.28920000000000012</v>
      </c>
      <c r="CD184" s="79">
        <f t="shared" si="86"/>
        <v>0.29060000000000014</v>
      </c>
      <c r="CE184" s="78">
        <v>0.29199999999999998</v>
      </c>
      <c r="CF184" s="79">
        <f t="shared" ref="CF184:CN184" si="87">CE184+($CO$184-$CE$184)/10</f>
        <v>0.29330000000000001</v>
      </c>
      <c r="CG184" s="79">
        <f t="shared" si="87"/>
        <v>0.29460000000000003</v>
      </c>
      <c r="CH184" s="79">
        <f t="shared" si="87"/>
        <v>0.29590000000000005</v>
      </c>
      <c r="CI184" s="79">
        <f t="shared" si="87"/>
        <v>0.29720000000000008</v>
      </c>
      <c r="CJ184" s="79">
        <f t="shared" si="87"/>
        <v>0.2985000000000001</v>
      </c>
      <c r="CK184" s="79">
        <f t="shared" si="87"/>
        <v>0.29980000000000012</v>
      </c>
      <c r="CL184" s="79">
        <f t="shared" si="87"/>
        <v>0.30110000000000015</v>
      </c>
      <c r="CM184" s="79">
        <f t="shared" si="87"/>
        <v>0.30240000000000017</v>
      </c>
      <c r="CN184" s="79">
        <f t="shared" si="87"/>
        <v>0.30370000000000019</v>
      </c>
      <c r="CO184" s="78">
        <v>0.30499999999999999</v>
      </c>
      <c r="CP184" s="79"/>
      <c r="CQ184" s="79"/>
      <c r="CR184" s="79"/>
      <c r="CS184" s="79"/>
      <c r="CT184" s="79"/>
      <c r="CU184" s="79"/>
      <c r="CV184" s="79"/>
      <c r="CW184" s="79"/>
      <c r="CX184" s="79"/>
      <c r="CY184" s="78"/>
      <c r="CZ184" s="79"/>
      <c r="DA184" s="79"/>
      <c r="DB184" s="79"/>
      <c r="DC184" s="79"/>
      <c r="DD184" s="79"/>
      <c r="DE184" s="79"/>
      <c r="DF184" s="79"/>
      <c r="DG184" s="79"/>
      <c r="DH184" s="79"/>
      <c r="DI184" s="78"/>
      <c r="DJ184" s="79"/>
      <c r="DK184" s="79"/>
      <c r="DL184" s="79"/>
      <c r="DM184" s="79"/>
      <c r="DN184" s="79"/>
      <c r="DO184" s="79"/>
      <c r="DP184" s="79"/>
      <c r="DQ184" s="79"/>
      <c r="DR184" s="79"/>
      <c r="DS184" s="78"/>
    </row>
    <row r="185" spans="2:123">
      <c r="B185" s="1" t="s">
        <v>78</v>
      </c>
    </row>
    <row r="186" spans="2:123">
      <c r="B186" s="1"/>
    </row>
    <row r="187" spans="2:123" ht="17.25" customHeight="1">
      <c r="B187" s="144" t="s">
        <v>132</v>
      </c>
      <c r="C187" s="82">
        <f>C188+C189</f>
        <v>1</v>
      </c>
    </row>
    <row r="188" spans="2:123">
      <c r="B188" s="67" t="s">
        <v>130</v>
      </c>
      <c r="C188" s="39">
        <v>0.75</v>
      </c>
    </row>
    <row r="189" spans="2:123">
      <c r="B189" s="45" t="s">
        <v>131</v>
      </c>
      <c r="C189" s="40">
        <v>0.25</v>
      </c>
    </row>
    <row r="190" spans="2:123">
      <c r="B190" s="1" t="s">
        <v>141</v>
      </c>
    </row>
    <row r="191" spans="2:123">
      <c r="B191" s="1"/>
    </row>
    <row r="192" spans="2:123" ht="22.5">
      <c r="B192" s="144" t="s">
        <v>135</v>
      </c>
      <c r="C192" s="883" t="s">
        <v>136</v>
      </c>
      <c r="D192" s="884"/>
      <c r="E192" s="884"/>
      <c r="F192" s="884"/>
      <c r="G192" s="884"/>
      <c r="H192" s="885"/>
    </row>
    <row r="193" spans="2:10" ht="33.75">
      <c r="B193" s="95" t="s">
        <v>103</v>
      </c>
      <c r="C193" s="134" t="s">
        <v>257</v>
      </c>
      <c r="D193" s="134" t="s">
        <v>262</v>
      </c>
      <c r="E193" s="134" t="s">
        <v>258</v>
      </c>
      <c r="F193" s="134" t="s">
        <v>259</v>
      </c>
      <c r="G193" s="134" t="s">
        <v>260</v>
      </c>
      <c r="H193" s="134" t="s">
        <v>261</v>
      </c>
    </row>
    <row r="194" spans="2:10">
      <c r="B194" s="3" t="s">
        <v>125</v>
      </c>
      <c r="C194" s="79">
        <v>5.7000000000000002E-2</v>
      </c>
      <c r="D194" s="79">
        <v>2.4E-2</v>
      </c>
      <c r="E194" s="79">
        <v>8.1000000000000003E-2</v>
      </c>
      <c r="F194" s="79">
        <v>3.3000000000000002E-2</v>
      </c>
      <c r="G194" s="79">
        <v>0.09</v>
      </c>
      <c r="H194" s="79">
        <v>0.115</v>
      </c>
    </row>
    <row r="195" spans="2:10">
      <c r="B195" s="3" t="s">
        <v>126</v>
      </c>
      <c r="C195" s="79">
        <v>5.0999999999999997E-2</v>
      </c>
      <c r="D195" s="79">
        <v>2.1999999999999999E-2</v>
      </c>
      <c r="E195" s="79">
        <v>7.2999999999999995E-2</v>
      </c>
      <c r="F195" s="79">
        <v>0.03</v>
      </c>
      <c r="G195" s="79">
        <v>8.1000000000000003E-2</v>
      </c>
      <c r="H195" s="79">
        <v>0.10299999999999999</v>
      </c>
    </row>
    <row r="196" spans="2:10">
      <c r="B196" s="3" t="s">
        <v>127</v>
      </c>
      <c r="C196" s="79">
        <v>7.0000000000000007E-2</v>
      </c>
      <c r="D196" s="79">
        <v>2.9000000000000001E-2</v>
      </c>
      <c r="E196" s="79">
        <v>9.9000000000000005E-2</v>
      </c>
      <c r="F196" s="79">
        <v>0.04</v>
      </c>
      <c r="G196" s="79">
        <v>0.11</v>
      </c>
      <c r="H196" s="79">
        <v>0.14099999999999999</v>
      </c>
      <c r="J196" s="2" t="s">
        <v>146</v>
      </c>
    </row>
    <row r="197" spans="2:10">
      <c r="B197" s="3" t="s">
        <v>128</v>
      </c>
      <c r="C197" s="79">
        <v>0.27600000000000002</v>
      </c>
      <c r="D197" s="79">
        <v>0.13100000000000001</v>
      </c>
      <c r="E197" s="79">
        <v>0.40699999999999997</v>
      </c>
      <c r="F197" s="79">
        <v>0.184</v>
      </c>
      <c r="G197" s="79">
        <v>0.46</v>
      </c>
      <c r="H197" s="79">
        <v>0.51900000000000002</v>
      </c>
      <c r="J197" s="2" t="s">
        <v>147</v>
      </c>
    </row>
    <row r="198" spans="2:10">
      <c r="B198" s="3" t="s">
        <v>129</v>
      </c>
      <c r="C198" s="79">
        <v>0.39300000000000002</v>
      </c>
      <c r="D198" s="79">
        <v>0.16500000000000001</v>
      </c>
      <c r="E198" s="79">
        <v>0.55800000000000005</v>
      </c>
      <c r="F198" s="79">
        <v>0.22800000000000001</v>
      </c>
      <c r="G198" s="79">
        <v>0.621</v>
      </c>
      <c r="H198" s="79">
        <v>0.80400000000000005</v>
      </c>
      <c r="J198" s="2" t="s">
        <v>148</v>
      </c>
    </row>
    <row r="199" spans="2:10">
      <c r="B199" s="3" t="s">
        <v>77</v>
      </c>
      <c r="C199" s="79">
        <v>0.25600000000000001</v>
      </c>
      <c r="D199" s="79">
        <v>0.123</v>
      </c>
      <c r="E199" s="79">
        <v>0.379</v>
      </c>
      <c r="F199" s="79">
        <v>0.17399999999999999</v>
      </c>
      <c r="G199" s="79">
        <v>0.43</v>
      </c>
      <c r="H199" s="79">
        <v>0.47699999999999998</v>
      </c>
    </row>
    <row r="200" spans="2:10">
      <c r="B200" s="1" t="s">
        <v>137</v>
      </c>
    </row>
    <row r="202" spans="2:10" ht="16.5" customHeight="1">
      <c r="B202" s="144" t="s">
        <v>138</v>
      </c>
      <c r="C202" s="82" t="s">
        <v>139</v>
      </c>
    </row>
    <row r="203" spans="2:10">
      <c r="B203" s="67" t="s">
        <v>130</v>
      </c>
      <c r="C203" s="84">
        <v>0.52300000000000002</v>
      </c>
      <c r="E203" s="2" t="s">
        <v>140</v>
      </c>
    </row>
    <row r="204" spans="2:10">
      <c r="B204" s="45" t="s">
        <v>131</v>
      </c>
      <c r="C204" s="85">
        <v>0.56999999999999995</v>
      </c>
    </row>
    <row r="205" spans="2:10">
      <c r="B205" s="1" t="s">
        <v>141</v>
      </c>
    </row>
    <row r="206" spans="2:10">
      <c r="B206" s="1"/>
    </row>
    <row r="207" spans="2:10" ht="15.75" customHeight="1">
      <c r="B207" s="873" t="s">
        <v>144</v>
      </c>
      <c r="C207" s="886"/>
      <c r="D207" s="887"/>
    </row>
    <row r="208" spans="2:10" ht="16.5" customHeight="1">
      <c r="B208" s="96" t="s">
        <v>103</v>
      </c>
      <c r="C208" s="93" t="s">
        <v>142</v>
      </c>
      <c r="D208" s="93" t="s">
        <v>143</v>
      </c>
    </row>
    <row r="209" spans="2:8">
      <c r="B209" s="94" t="s">
        <v>125</v>
      </c>
      <c r="C209" s="97">
        <v>4.1000000000000002E-2</v>
      </c>
      <c r="D209" s="79">
        <v>3.6429999999999998</v>
      </c>
    </row>
    <row r="210" spans="2:8">
      <c r="B210" s="48" t="s">
        <v>126</v>
      </c>
      <c r="C210" s="98">
        <v>3.4000000000000002E-2</v>
      </c>
      <c r="D210" s="79">
        <v>2.4289999999999998</v>
      </c>
    </row>
    <row r="211" spans="2:8">
      <c r="B211" s="48" t="s">
        <v>127</v>
      </c>
      <c r="C211" s="98">
        <v>4.2000000000000003E-2</v>
      </c>
      <c r="D211" s="79">
        <v>14.138</v>
      </c>
    </row>
    <row r="212" spans="2:8">
      <c r="B212" s="48" t="s">
        <v>128</v>
      </c>
      <c r="C212" s="98">
        <v>6.5000000000000002E-2</v>
      </c>
      <c r="D212" s="79">
        <v>15.584</v>
      </c>
    </row>
    <row r="213" spans="2:8">
      <c r="B213" s="48" t="s">
        <v>129</v>
      </c>
      <c r="C213" s="98">
        <v>0.12</v>
      </c>
      <c r="D213" s="79">
        <v>18.013999999999999</v>
      </c>
    </row>
    <row r="214" spans="2:8">
      <c r="B214" s="48" t="s">
        <v>77</v>
      </c>
      <c r="C214" s="98">
        <v>8.4000000000000005E-2</v>
      </c>
      <c r="D214" s="79">
        <v>16.393000000000001</v>
      </c>
    </row>
    <row r="215" spans="2:8">
      <c r="B215" s="1" t="s">
        <v>145</v>
      </c>
    </row>
    <row r="217" spans="2:8" ht="23.25" customHeight="1">
      <c r="B217" s="873" t="s">
        <v>149</v>
      </c>
      <c r="C217" s="876"/>
      <c r="D217" s="876"/>
      <c r="E217" s="876"/>
      <c r="F217" s="99"/>
    </row>
    <row r="218" spans="2:8" ht="22.5" customHeight="1">
      <c r="B218" s="96" t="s">
        <v>79</v>
      </c>
      <c r="C218" s="92" t="s">
        <v>61</v>
      </c>
      <c r="D218" s="92" t="s">
        <v>62</v>
      </c>
      <c r="E218" s="92" t="s">
        <v>63</v>
      </c>
      <c r="F218" s="99"/>
    </row>
    <row r="219" spans="2:8" ht="22.5" customHeight="1">
      <c r="B219" s="49" t="s">
        <v>150</v>
      </c>
      <c r="C219" s="102">
        <v>1.1120000000000001</v>
      </c>
      <c r="D219" s="102">
        <v>6.5410000000000004</v>
      </c>
      <c r="E219" s="102">
        <v>47.969000000000001</v>
      </c>
      <c r="F219" s="100"/>
      <c r="G219" s="840" t="s">
        <v>264</v>
      </c>
      <c r="H219" s="2" t="s">
        <v>157</v>
      </c>
    </row>
    <row r="220" spans="2:8" ht="22.5">
      <c r="B220" s="101" t="s">
        <v>151</v>
      </c>
      <c r="C220" s="102">
        <v>0.26</v>
      </c>
      <c r="D220" s="102">
        <v>4.585</v>
      </c>
      <c r="E220" s="102">
        <v>24.452999999999999</v>
      </c>
      <c r="F220" s="100"/>
      <c r="G220" s="840" t="s">
        <v>263</v>
      </c>
    </row>
    <row r="221" spans="2:8" ht="22.5">
      <c r="B221" s="49" t="s">
        <v>152</v>
      </c>
      <c r="C221" s="102">
        <v>0.754</v>
      </c>
      <c r="D221" s="102">
        <v>4.4370000000000003</v>
      </c>
      <c r="E221" s="102">
        <v>29.582999999999998</v>
      </c>
      <c r="F221" s="100"/>
      <c r="G221" s="840" t="s">
        <v>269</v>
      </c>
    </row>
    <row r="222" spans="2:8" ht="22.5">
      <c r="B222" s="101" t="s">
        <v>153</v>
      </c>
      <c r="C222" s="102">
        <v>0.14299999999999999</v>
      </c>
      <c r="D222" s="102">
        <v>1.054</v>
      </c>
      <c r="E222" s="102">
        <v>11.382999999999999</v>
      </c>
      <c r="F222" s="100"/>
      <c r="G222" s="840" t="s">
        <v>268</v>
      </c>
    </row>
    <row r="223" spans="2:8" ht="22.5">
      <c r="B223" s="49" t="s">
        <v>154</v>
      </c>
      <c r="C223" s="102">
        <v>0.78200000000000003</v>
      </c>
      <c r="D223" s="102">
        <v>1.1499999999999999</v>
      </c>
      <c r="E223" s="102">
        <v>6.9029999999999996</v>
      </c>
      <c r="F223" s="100"/>
      <c r="G223" s="840" t="s">
        <v>265</v>
      </c>
    </row>
    <row r="224" spans="2:8" ht="22.5">
      <c r="B224" s="49" t="s">
        <v>155</v>
      </c>
      <c r="C224" s="102">
        <v>0.26500000000000001</v>
      </c>
      <c r="D224" s="102">
        <v>1.216</v>
      </c>
      <c r="E224" s="102">
        <v>12.846</v>
      </c>
      <c r="F224" s="100"/>
      <c r="G224" s="840" t="s">
        <v>266</v>
      </c>
    </row>
    <row r="225" spans="2:43" ht="22.5">
      <c r="B225" s="49" t="s">
        <v>156</v>
      </c>
      <c r="C225" s="102">
        <v>0.24099999999999999</v>
      </c>
      <c r="D225" s="102">
        <v>0.97299999999999998</v>
      </c>
      <c r="E225" s="102">
        <v>6.8970000000000002</v>
      </c>
      <c r="F225" s="100"/>
      <c r="G225" s="840" t="s">
        <v>267</v>
      </c>
    </row>
    <row r="226" spans="2:43">
      <c r="B226" s="1" t="s">
        <v>319</v>
      </c>
    </row>
    <row r="228" spans="2:43" ht="22.5">
      <c r="B228" s="144" t="s">
        <v>158</v>
      </c>
      <c r="C228" s="71">
        <v>2021</v>
      </c>
      <c r="D228" s="71">
        <v>2022</v>
      </c>
      <c r="E228" s="71">
        <v>2023</v>
      </c>
      <c r="F228" s="71">
        <v>2024</v>
      </c>
      <c r="G228" s="71">
        <v>2025</v>
      </c>
      <c r="H228" s="71">
        <v>2026</v>
      </c>
      <c r="I228" s="71">
        <v>2027</v>
      </c>
      <c r="J228" s="71">
        <v>2028</v>
      </c>
      <c r="K228" s="71">
        <v>2029</v>
      </c>
      <c r="L228" s="71">
        <v>2030</v>
      </c>
      <c r="M228" s="71">
        <v>2031</v>
      </c>
      <c r="N228" s="71">
        <v>2032</v>
      </c>
      <c r="O228" s="71">
        <v>2033</v>
      </c>
      <c r="P228" s="71">
        <v>2034</v>
      </c>
      <c r="Q228" s="71">
        <v>2035</v>
      </c>
      <c r="R228" s="71">
        <v>2036</v>
      </c>
      <c r="S228" s="71">
        <v>2037</v>
      </c>
      <c r="T228" s="71">
        <v>2038</v>
      </c>
      <c r="U228" s="71">
        <v>2039</v>
      </c>
      <c r="V228" s="71">
        <v>2040</v>
      </c>
      <c r="W228" s="71">
        <v>2041</v>
      </c>
      <c r="X228" s="71">
        <v>2042</v>
      </c>
      <c r="Y228" s="71">
        <v>2043</v>
      </c>
      <c r="Z228" s="71">
        <v>2044</v>
      </c>
      <c r="AA228" s="71">
        <v>2045</v>
      </c>
      <c r="AB228" s="71">
        <v>2046</v>
      </c>
      <c r="AC228" s="71">
        <v>2047</v>
      </c>
      <c r="AD228" s="71">
        <v>2048</v>
      </c>
      <c r="AE228" s="71">
        <v>2049</v>
      </c>
      <c r="AF228" s="71">
        <v>2050</v>
      </c>
      <c r="AG228" s="71">
        <v>2051</v>
      </c>
      <c r="AH228" s="71">
        <v>2052</v>
      </c>
      <c r="AI228" s="71">
        <v>2053</v>
      </c>
      <c r="AJ228" s="71">
        <v>2054</v>
      </c>
      <c r="AK228" s="71">
        <v>2055</v>
      </c>
      <c r="AL228" s="71">
        <v>2056</v>
      </c>
      <c r="AM228" s="71">
        <v>2057</v>
      </c>
      <c r="AN228" s="71">
        <v>2058</v>
      </c>
      <c r="AO228" s="71">
        <v>2059</v>
      </c>
      <c r="AP228" s="71">
        <v>2060</v>
      </c>
    </row>
    <row r="229" spans="2:43">
      <c r="B229" s="48" t="s">
        <v>61</v>
      </c>
      <c r="C229" s="103">
        <v>3296699</v>
      </c>
      <c r="D229" s="103">
        <f t="shared" ref="D229:AP229" si="88">ROUND(C229*(1+(0.7*D42)),2)</f>
        <v>3335207.48</v>
      </c>
      <c r="E229" s="103">
        <f t="shared" si="88"/>
        <v>3364099.47</v>
      </c>
      <c r="F229" s="103">
        <f t="shared" si="88"/>
        <v>3393611.48</v>
      </c>
      <c r="G229" s="103">
        <f t="shared" si="88"/>
        <v>3468417.21</v>
      </c>
      <c r="H229" s="103">
        <f t="shared" si="88"/>
        <v>3520122.59</v>
      </c>
      <c r="I229" s="103">
        <f t="shared" si="88"/>
        <v>3571481.85</v>
      </c>
      <c r="J229" s="103">
        <f t="shared" si="88"/>
        <v>3613982.48</v>
      </c>
      <c r="K229" s="103">
        <f t="shared" si="88"/>
        <v>3656988.87</v>
      </c>
      <c r="L229" s="103">
        <f t="shared" si="88"/>
        <v>3700507.04</v>
      </c>
      <c r="M229" s="103">
        <f t="shared" si="88"/>
        <v>3731591.3</v>
      </c>
      <c r="N229" s="103">
        <f t="shared" si="88"/>
        <v>3762936.67</v>
      </c>
      <c r="O229" s="103">
        <f t="shared" si="88"/>
        <v>3794545.34</v>
      </c>
      <c r="P229" s="103">
        <f t="shared" si="88"/>
        <v>3826419.52</v>
      </c>
      <c r="Q229" s="103">
        <f t="shared" si="88"/>
        <v>3858561.44</v>
      </c>
      <c r="R229" s="103">
        <f t="shared" si="88"/>
        <v>3890973.36</v>
      </c>
      <c r="S229" s="103">
        <f t="shared" si="88"/>
        <v>3923657.54</v>
      </c>
      <c r="T229" s="103">
        <f t="shared" si="88"/>
        <v>3956616.26</v>
      </c>
      <c r="U229" s="103">
        <f t="shared" si="88"/>
        <v>3989851.84</v>
      </c>
      <c r="V229" s="103">
        <f t="shared" si="88"/>
        <v>4023366.6</v>
      </c>
      <c r="W229" s="103">
        <f t="shared" si="88"/>
        <v>4051530.17</v>
      </c>
      <c r="X229" s="103">
        <f t="shared" si="88"/>
        <v>4079890.88</v>
      </c>
      <c r="Y229" s="103">
        <f t="shared" si="88"/>
        <v>4108450.12</v>
      </c>
      <c r="Z229" s="103">
        <f t="shared" si="88"/>
        <v>4137209.27</v>
      </c>
      <c r="AA229" s="103">
        <f t="shared" si="88"/>
        <v>4166169.73</v>
      </c>
      <c r="AB229" s="103">
        <f t="shared" si="88"/>
        <v>4195332.92</v>
      </c>
      <c r="AC229" s="103">
        <f t="shared" si="88"/>
        <v>4224700.25</v>
      </c>
      <c r="AD229" s="103">
        <f t="shared" si="88"/>
        <v>4254273.1500000004</v>
      </c>
      <c r="AE229" s="103">
        <f t="shared" si="88"/>
        <v>4284053.0599999996</v>
      </c>
      <c r="AF229" s="103">
        <f t="shared" si="88"/>
        <v>4314041.43</v>
      </c>
      <c r="AG229" s="103">
        <f t="shared" si="88"/>
        <v>4353299.21</v>
      </c>
      <c r="AH229" s="103">
        <f t="shared" si="88"/>
        <v>4392914.2300000004</v>
      </c>
      <c r="AI229" s="103">
        <f t="shared" si="88"/>
        <v>4432889.75</v>
      </c>
      <c r="AJ229" s="103">
        <f t="shared" si="88"/>
        <v>4473229.05</v>
      </c>
      <c r="AK229" s="103">
        <f t="shared" si="88"/>
        <v>4513935.43</v>
      </c>
      <c r="AL229" s="103">
        <f t="shared" si="88"/>
        <v>4555012.24</v>
      </c>
      <c r="AM229" s="103">
        <f t="shared" si="88"/>
        <v>4596462.8499999996</v>
      </c>
      <c r="AN229" s="103">
        <f t="shared" si="88"/>
        <v>4638290.66</v>
      </c>
      <c r="AO229" s="103">
        <f t="shared" si="88"/>
        <v>4680499.1100000003</v>
      </c>
      <c r="AP229" s="103">
        <f t="shared" si="88"/>
        <v>4723091.6500000004</v>
      </c>
      <c r="AQ229" s="116"/>
    </row>
    <row r="230" spans="2:43">
      <c r="B230" s="48" t="s">
        <v>62</v>
      </c>
      <c r="C230" s="103">
        <v>468484</v>
      </c>
      <c r="D230" s="103">
        <f t="shared" ref="D230:AP230" si="89">ROUND(C230*(1+(0.7*D42)),2)</f>
        <v>473956.32</v>
      </c>
      <c r="E230" s="103">
        <f t="shared" si="89"/>
        <v>478062.07</v>
      </c>
      <c r="F230" s="103">
        <f t="shared" si="89"/>
        <v>482255.93</v>
      </c>
      <c r="G230" s="103">
        <f t="shared" si="89"/>
        <v>492886.35</v>
      </c>
      <c r="H230" s="103">
        <f t="shared" si="89"/>
        <v>500234.05</v>
      </c>
      <c r="I230" s="103">
        <f t="shared" si="89"/>
        <v>507532.56</v>
      </c>
      <c r="J230" s="103">
        <f t="shared" si="89"/>
        <v>513572.2</v>
      </c>
      <c r="K230" s="103">
        <f t="shared" si="89"/>
        <v>519683.71</v>
      </c>
      <c r="L230" s="103">
        <f t="shared" si="89"/>
        <v>525867.94999999995</v>
      </c>
      <c r="M230" s="103">
        <f t="shared" si="89"/>
        <v>530285.24</v>
      </c>
      <c r="N230" s="103">
        <f t="shared" si="89"/>
        <v>534739.64</v>
      </c>
      <c r="O230" s="103">
        <f t="shared" si="89"/>
        <v>539231.44999999995</v>
      </c>
      <c r="P230" s="103">
        <f t="shared" si="89"/>
        <v>543760.99</v>
      </c>
      <c r="Q230" s="103">
        <f t="shared" si="89"/>
        <v>548328.57999999996</v>
      </c>
      <c r="R230" s="103">
        <f t="shared" si="89"/>
        <v>552934.54</v>
      </c>
      <c r="S230" s="103">
        <f t="shared" si="89"/>
        <v>557579.18999999994</v>
      </c>
      <c r="T230" s="103">
        <f t="shared" si="89"/>
        <v>562262.86</v>
      </c>
      <c r="U230" s="103">
        <f t="shared" si="89"/>
        <v>566985.87</v>
      </c>
      <c r="V230" s="103">
        <f t="shared" si="89"/>
        <v>571748.55000000005</v>
      </c>
      <c r="W230" s="103">
        <f t="shared" si="89"/>
        <v>575750.79</v>
      </c>
      <c r="X230" s="103">
        <f t="shared" si="89"/>
        <v>579781.05000000005</v>
      </c>
      <c r="Y230" s="103">
        <f t="shared" si="89"/>
        <v>583839.52</v>
      </c>
      <c r="Z230" s="103">
        <f t="shared" si="89"/>
        <v>587926.4</v>
      </c>
      <c r="AA230" s="103">
        <f t="shared" si="89"/>
        <v>592041.88</v>
      </c>
      <c r="AB230" s="103">
        <f t="shared" si="89"/>
        <v>596186.17000000004</v>
      </c>
      <c r="AC230" s="103">
        <f t="shared" si="89"/>
        <v>600359.47</v>
      </c>
      <c r="AD230" s="103">
        <f t="shared" si="89"/>
        <v>604561.99</v>
      </c>
      <c r="AE230" s="103">
        <f t="shared" si="89"/>
        <v>608793.92000000004</v>
      </c>
      <c r="AF230" s="103">
        <f t="shared" si="89"/>
        <v>613055.48</v>
      </c>
      <c r="AG230" s="103">
        <f t="shared" si="89"/>
        <v>618634.28</v>
      </c>
      <c r="AH230" s="103">
        <f t="shared" si="89"/>
        <v>624263.85</v>
      </c>
      <c r="AI230" s="103">
        <f t="shared" si="89"/>
        <v>629944.65</v>
      </c>
      <c r="AJ230" s="103">
        <f t="shared" si="89"/>
        <v>635677.15</v>
      </c>
      <c r="AK230" s="103">
        <f t="shared" si="89"/>
        <v>641461.81000000006</v>
      </c>
      <c r="AL230" s="103">
        <f t="shared" si="89"/>
        <v>647299.11</v>
      </c>
      <c r="AM230" s="103">
        <f t="shared" si="89"/>
        <v>653189.53</v>
      </c>
      <c r="AN230" s="103">
        <f t="shared" si="89"/>
        <v>659133.55000000005</v>
      </c>
      <c r="AO230" s="103">
        <f t="shared" si="89"/>
        <v>665131.67000000004</v>
      </c>
      <c r="AP230" s="103">
        <f t="shared" si="89"/>
        <v>671184.37</v>
      </c>
      <c r="AQ230" s="116"/>
    </row>
    <row r="231" spans="2:43">
      <c r="B231" s="48" t="s">
        <v>63</v>
      </c>
      <c r="C231" s="103">
        <v>36161</v>
      </c>
      <c r="D231" s="103">
        <f t="shared" ref="D231:AP231" si="90">ROUND(C231*(1+(0.7*D42)),2)</f>
        <v>36583.39</v>
      </c>
      <c r="E231" s="103">
        <f t="shared" si="90"/>
        <v>36900.300000000003</v>
      </c>
      <c r="F231" s="103">
        <f t="shared" si="90"/>
        <v>37224.01</v>
      </c>
      <c r="G231" s="103">
        <f t="shared" si="90"/>
        <v>38044.54</v>
      </c>
      <c r="H231" s="103">
        <f t="shared" si="90"/>
        <v>38611.69</v>
      </c>
      <c r="I231" s="103">
        <f t="shared" si="90"/>
        <v>39175.040000000001</v>
      </c>
      <c r="J231" s="103">
        <f t="shared" si="90"/>
        <v>39641.22</v>
      </c>
      <c r="K231" s="103">
        <f t="shared" si="90"/>
        <v>40112.949999999997</v>
      </c>
      <c r="L231" s="103">
        <f t="shared" si="90"/>
        <v>40590.29</v>
      </c>
      <c r="M231" s="103">
        <f t="shared" si="90"/>
        <v>40931.25</v>
      </c>
      <c r="N231" s="103">
        <f t="shared" si="90"/>
        <v>41275.07</v>
      </c>
      <c r="O231" s="103">
        <f t="shared" si="90"/>
        <v>41621.78</v>
      </c>
      <c r="P231" s="103">
        <f t="shared" si="90"/>
        <v>41971.4</v>
      </c>
      <c r="Q231" s="103">
        <f t="shared" si="90"/>
        <v>42323.96</v>
      </c>
      <c r="R231" s="103">
        <f t="shared" si="90"/>
        <v>42679.48</v>
      </c>
      <c r="S231" s="103">
        <f t="shared" si="90"/>
        <v>43037.99</v>
      </c>
      <c r="T231" s="103">
        <f t="shared" si="90"/>
        <v>43399.51</v>
      </c>
      <c r="U231" s="103">
        <f t="shared" si="90"/>
        <v>43764.07</v>
      </c>
      <c r="V231" s="103">
        <f t="shared" si="90"/>
        <v>44131.69</v>
      </c>
      <c r="W231" s="103">
        <f t="shared" si="90"/>
        <v>44440.61</v>
      </c>
      <c r="X231" s="103">
        <f t="shared" si="90"/>
        <v>44751.69</v>
      </c>
      <c r="Y231" s="103">
        <f t="shared" si="90"/>
        <v>45064.95</v>
      </c>
      <c r="Z231" s="103">
        <f t="shared" si="90"/>
        <v>45380.4</v>
      </c>
      <c r="AA231" s="103">
        <f t="shared" si="90"/>
        <v>45698.06</v>
      </c>
      <c r="AB231" s="103">
        <f t="shared" si="90"/>
        <v>46017.95</v>
      </c>
      <c r="AC231" s="103">
        <f t="shared" si="90"/>
        <v>46340.08</v>
      </c>
      <c r="AD231" s="103">
        <f t="shared" si="90"/>
        <v>46664.46</v>
      </c>
      <c r="AE231" s="103">
        <f t="shared" si="90"/>
        <v>46991.11</v>
      </c>
      <c r="AF231" s="103">
        <f t="shared" si="90"/>
        <v>47320.05</v>
      </c>
      <c r="AG231" s="103">
        <f t="shared" si="90"/>
        <v>47750.66</v>
      </c>
      <c r="AH231" s="103">
        <f t="shared" si="90"/>
        <v>48185.19</v>
      </c>
      <c r="AI231" s="103">
        <f t="shared" si="90"/>
        <v>48623.68</v>
      </c>
      <c r="AJ231" s="103">
        <f t="shared" si="90"/>
        <v>49066.16</v>
      </c>
      <c r="AK231" s="103">
        <f t="shared" si="90"/>
        <v>49512.66</v>
      </c>
      <c r="AL231" s="103">
        <f t="shared" si="90"/>
        <v>49963.23</v>
      </c>
      <c r="AM231" s="103">
        <f t="shared" si="90"/>
        <v>50417.9</v>
      </c>
      <c r="AN231" s="103">
        <f t="shared" si="90"/>
        <v>50876.7</v>
      </c>
      <c r="AO231" s="103">
        <f t="shared" si="90"/>
        <v>51339.68</v>
      </c>
      <c r="AP231" s="103">
        <f t="shared" si="90"/>
        <v>51806.87</v>
      </c>
      <c r="AQ231" s="116"/>
    </row>
    <row r="232" spans="2:43">
      <c r="B232" s="1" t="s">
        <v>85</v>
      </c>
    </row>
    <row r="233" spans="2:43">
      <c r="B233" s="1"/>
    </row>
    <row r="234" spans="2:43" ht="16.5" customHeight="1">
      <c r="B234" s="873" t="s">
        <v>186</v>
      </c>
      <c r="C234" s="876"/>
      <c r="D234" s="876"/>
      <c r="E234" s="876"/>
      <c r="F234" s="882"/>
      <c r="G234" s="882"/>
    </row>
    <row r="235" spans="2:43" ht="16.5" customHeight="1">
      <c r="B235" s="96" t="s">
        <v>103</v>
      </c>
      <c r="C235" s="104" t="s">
        <v>167</v>
      </c>
      <c r="D235" s="104" t="s">
        <v>168</v>
      </c>
      <c r="E235" s="104" t="s">
        <v>169</v>
      </c>
      <c r="F235" s="105" t="s">
        <v>166</v>
      </c>
      <c r="G235" s="105" t="s">
        <v>170</v>
      </c>
    </row>
    <row r="236" spans="2:43">
      <c r="B236" s="49" t="s">
        <v>125</v>
      </c>
      <c r="C236" s="102">
        <v>0.03</v>
      </c>
      <c r="D236" s="102">
        <v>8.73</v>
      </c>
      <c r="E236" s="102">
        <v>0.02</v>
      </c>
      <c r="F236" s="85">
        <v>10.050000000000001</v>
      </c>
      <c r="G236" s="85">
        <v>1.1060000000000001</v>
      </c>
    </row>
    <row r="237" spans="2:43">
      <c r="B237" s="101" t="s">
        <v>126</v>
      </c>
      <c r="C237" s="102">
        <v>1.1000000000000001</v>
      </c>
      <c r="D237" s="102">
        <v>12.96</v>
      </c>
      <c r="E237" s="102">
        <v>0.02</v>
      </c>
      <c r="F237" s="85">
        <v>0.7</v>
      </c>
      <c r="G237" s="85">
        <v>6.5000000000000002E-2</v>
      </c>
    </row>
    <row r="238" spans="2:43">
      <c r="B238" s="49" t="s">
        <v>171</v>
      </c>
      <c r="C238" s="102">
        <v>1.52</v>
      </c>
      <c r="D238" s="102">
        <v>14.91</v>
      </c>
      <c r="E238" s="102">
        <v>0.02</v>
      </c>
      <c r="F238" s="85">
        <v>1.54</v>
      </c>
      <c r="G238" s="85">
        <v>3.7999999999999999E-2</v>
      </c>
    </row>
    <row r="239" spans="2:43">
      <c r="B239" s="101" t="s">
        <v>172</v>
      </c>
      <c r="C239" s="102">
        <v>0.94</v>
      </c>
      <c r="D239" s="102">
        <v>33.369999999999997</v>
      </c>
      <c r="E239" s="102">
        <v>0.02</v>
      </c>
      <c r="F239" s="85">
        <v>1.92</v>
      </c>
      <c r="G239" s="85">
        <v>1.2999999999999999E-2</v>
      </c>
    </row>
    <row r="240" spans="2:43">
      <c r="B240" s="49" t="s">
        <v>173</v>
      </c>
      <c r="C240" s="102">
        <v>0.94</v>
      </c>
      <c r="D240" s="102">
        <v>33.369999999999997</v>
      </c>
      <c r="E240" s="102">
        <v>0.02</v>
      </c>
      <c r="F240" s="85">
        <v>1.92</v>
      </c>
      <c r="G240" s="85">
        <v>1.2999999999999999E-2</v>
      </c>
    </row>
    <row r="241" spans="2:43">
      <c r="B241" s="49" t="s">
        <v>174</v>
      </c>
      <c r="C241" s="102">
        <v>0.94</v>
      </c>
      <c r="D241" s="102">
        <v>33.369999999999997</v>
      </c>
      <c r="E241" s="102">
        <v>0.02</v>
      </c>
      <c r="F241" s="85">
        <v>1.92</v>
      </c>
      <c r="G241" s="85">
        <v>1.2999999999999999E-2</v>
      </c>
    </row>
    <row r="242" spans="2:43">
      <c r="B242" s="1" t="s">
        <v>175</v>
      </c>
    </row>
    <row r="244" spans="2:43" ht="16.5" customHeight="1">
      <c r="B244" s="873" t="s">
        <v>187</v>
      </c>
      <c r="C244" s="874"/>
      <c r="D244" s="874"/>
      <c r="E244" s="874"/>
      <c r="F244"/>
      <c r="G244"/>
    </row>
    <row r="245" spans="2:43" ht="16.5" customHeight="1">
      <c r="B245" s="96" t="s">
        <v>103</v>
      </c>
      <c r="C245" s="104" t="s">
        <v>188</v>
      </c>
      <c r="D245" s="104" t="s">
        <v>189</v>
      </c>
      <c r="E245" s="104" t="s">
        <v>190</v>
      </c>
      <c r="F245" s="110"/>
      <c r="G245" s="110"/>
    </row>
    <row r="246" spans="2:43">
      <c r="B246" s="49" t="s">
        <v>125</v>
      </c>
      <c r="C246" s="112">
        <v>3180</v>
      </c>
      <c r="D246" s="113">
        <v>1.0900000000000001</v>
      </c>
      <c r="E246" s="102">
        <v>0.20599999999999999</v>
      </c>
      <c r="F246" s="109"/>
      <c r="G246" s="109"/>
    </row>
    <row r="247" spans="2:43">
      <c r="B247" s="101" t="s">
        <v>126</v>
      </c>
      <c r="C247" s="112">
        <v>3140</v>
      </c>
      <c r="D247" s="113">
        <v>0.23</v>
      </c>
      <c r="E247" s="102">
        <v>8.6999999999999994E-2</v>
      </c>
      <c r="F247" s="109"/>
      <c r="G247" s="109"/>
    </row>
    <row r="248" spans="2:43">
      <c r="B248" s="49" t="s">
        <v>171</v>
      </c>
      <c r="C248" s="112">
        <v>3140</v>
      </c>
      <c r="D248" s="113">
        <v>0.16</v>
      </c>
      <c r="E248" s="102">
        <v>5.6000000000000001E-2</v>
      </c>
      <c r="F248" s="109"/>
      <c r="G248" s="109"/>
    </row>
    <row r="249" spans="2:43">
      <c r="B249" s="101" t="s">
        <v>172</v>
      </c>
      <c r="C249" s="112">
        <v>3140</v>
      </c>
      <c r="D249" s="113">
        <v>0.27</v>
      </c>
      <c r="E249" s="102">
        <v>5.0999999999999997E-2</v>
      </c>
      <c r="F249" s="109"/>
      <c r="G249" s="109"/>
    </row>
    <row r="250" spans="2:43">
      <c r="B250" s="49" t="s">
        <v>173</v>
      </c>
      <c r="C250" s="112">
        <v>3140</v>
      </c>
      <c r="D250" s="113">
        <v>0.27</v>
      </c>
      <c r="E250" s="102">
        <v>5.0999999999999997E-2</v>
      </c>
      <c r="F250" s="109"/>
      <c r="G250" s="109"/>
    </row>
    <row r="251" spans="2:43">
      <c r="B251" s="49" t="s">
        <v>174</v>
      </c>
      <c r="C251" s="112">
        <v>3140</v>
      </c>
      <c r="D251" s="113">
        <v>0.27</v>
      </c>
      <c r="E251" s="102">
        <v>5.0999999999999997E-2</v>
      </c>
      <c r="F251" s="109"/>
      <c r="G251" s="109"/>
    </row>
    <row r="252" spans="2:43">
      <c r="B252" s="114" t="s">
        <v>191</v>
      </c>
      <c r="C252" s="108"/>
      <c r="D252" s="108"/>
      <c r="E252" s="108"/>
      <c r="F252" s="109"/>
      <c r="G252" s="109"/>
    </row>
    <row r="254" spans="2:43" ht="22.5">
      <c r="B254" s="144" t="s">
        <v>196</v>
      </c>
      <c r="C254" s="71">
        <v>2021</v>
      </c>
      <c r="D254" s="71">
        <v>2022</v>
      </c>
      <c r="E254" s="71">
        <v>2023</v>
      </c>
      <c r="F254" s="71">
        <v>2024</v>
      </c>
      <c r="G254" s="71">
        <v>2025</v>
      </c>
      <c r="H254" s="71">
        <v>2026</v>
      </c>
      <c r="I254" s="71">
        <v>2027</v>
      </c>
      <c r="J254" s="71">
        <v>2028</v>
      </c>
      <c r="K254" s="71">
        <v>2029</v>
      </c>
      <c r="L254" s="71">
        <v>2030</v>
      </c>
      <c r="M254" s="71">
        <v>2031</v>
      </c>
      <c r="N254" s="71">
        <v>2032</v>
      </c>
      <c r="O254" s="71">
        <v>2033</v>
      </c>
      <c r="P254" s="71">
        <v>2034</v>
      </c>
      <c r="Q254" s="71">
        <v>2035</v>
      </c>
      <c r="R254" s="71">
        <v>2036</v>
      </c>
      <c r="S254" s="71">
        <v>2037</v>
      </c>
      <c r="T254" s="71">
        <v>2038</v>
      </c>
      <c r="U254" s="71">
        <v>2039</v>
      </c>
      <c r="V254" s="71">
        <v>2040</v>
      </c>
      <c r="W254" s="71">
        <v>2041</v>
      </c>
      <c r="X254" s="71">
        <v>2042</v>
      </c>
      <c r="Y254" s="71">
        <v>2043</v>
      </c>
      <c r="Z254" s="71">
        <v>2044</v>
      </c>
      <c r="AA254" s="71">
        <v>2045</v>
      </c>
      <c r="AB254" s="71">
        <v>2046</v>
      </c>
      <c r="AC254" s="71">
        <v>2047</v>
      </c>
      <c r="AD254" s="71">
        <v>2048</v>
      </c>
      <c r="AE254" s="71">
        <v>2049</v>
      </c>
      <c r="AF254" s="71">
        <v>2050</v>
      </c>
      <c r="AG254" s="71">
        <v>2051</v>
      </c>
      <c r="AH254" s="71">
        <v>2052</v>
      </c>
      <c r="AI254" s="71">
        <v>2053</v>
      </c>
      <c r="AJ254" s="71">
        <v>2054</v>
      </c>
      <c r="AK254" s="71">
        <v>2055</v>
      </c>
      <c r="AL254" s="71">
        <v>2056</v>
      </c>
      <c r="AM254" s="71">
        <v>2057</v>
      </c>
      <c r="AN254" s="71">
        <v>2058</v>
      </c>
      <c r="AO254" s="71">
        <v>2059</v>
      </c>
      <c r="AP254" s="71">
        <v>2060</v>
      </c>
      <c r="AQ254" s="72"/>
    </row>
    <row r="255" spans="2:43">
      <c r="B255" s="48" t="s">
        <v>197</v>
      </c>
      <c r="C255" s="115">
        <f>1.4*0.01</f>
        <v>1.3999999999999999E-2</v>
      </c>
      <c r="D255" s="115">
        <f>ROUND(C255*(1+(0.7*D42)),5)</f>
        <v>1.4160000000000001E-2</v>
      </c>
      <c r="E255" s="115">
        <f t="shared" ref="E255:AP255" si="91">ROUND(D255*(1+(0.7*E42)),5)</f>
        <v>1.4279999999999999E-2</v>
      </c>
      <c r="F255" s="115">
        <f t="shared" si="91"/>
        <v>1.4409999999999999E-2</v>
      </c>
      <c r="G255" s="115">
        <f t="shared" si="91"/>
        <v>1.473E-2</v>
      </c>
      <c r="H255" s="115">
        <f t="shared" si="91"/>
        <v>1.495E-2</v>
      </c>
      <c r="I255" s="115">
        <f t="shared" si="91"/>
        <v>1.5169999999999999E-2</v>
      </c>
      <c r="J255" s="115">
        <f t="shared" si="91"/>
        <v>1.5350000000000001E-2</v>
      </c>
      <c r="K255" s="115">
        <f t="shared" si="91"/>
        <v>1.553E-2</v>
      </c>
      <c r="L255" s="115">
        <f t="shared" si="91"/>
        <v>1.5709999999999998E-2</v>
      </c>
      <c r="M255" s="115">
        <f t="shared" si="91"/>
        <v>1.584E-2</v>
      </c>
      <c r="N255" s="115">
        <f t="shared" si="91"/>
        <v>1.5970000000000002E-2</v>
      </c>
      <c r="O255" s="115">
        <f t="shared" si="91"/>
        <v>1.61E-2</v>
      </c>
      <c r="P255" s="115">
        <f t="shared" si="91"/>
        <v>1.6240000000000001E-2</v>
      </c>
      <c r="Q255" s="115">
        <f t="shared" si="91"/>
        <v>1.6379999999999999E-2</v>
      </c>
      <c r="R255" s="115">
        <f t="shared" si="91"/>
        <v>1.652E-2</v>
      </c>
      <c r="S255" s="115">
        <f t="shared" si="91"/>
        <v>1.6660000000000001E-2</v>
      </c>
      <c r="T255" s="115">
        <f t="shared" si="91"/>
        <v>1.6799999999999999E-2</v>
      </c>
      <c r="U255" s="115">
        <f t="shared" si="91"/>
        <v>1.694E-2</v>
      </c>
      <c r="V255" s="115">
        <f t="shared" si="91"/>
        <v>1.7080000000000001E-2</v>
      </c>
      <c r="W255" s="115">
        <f t="shared" si="91"/>
        <v>1.72E-2</v>
      </c>
      <c r="X255" s="115">
        <f t="shared" si="91"/>
        <v>1.7319999999999999E-2</v>
      </c>
      <c r="Y255" s="115">
        <f t="shared" si="91"/>
        <v>1.7440000000000001E-2</v>
      </c>
      <c r="Z255" s="115">
        <f t="shared" si="91"/>
        <v>1.7559999999999999E-2</v>
      </c>
      <c r="AA255" s="115">
        <f t="shared" si="91"/>
        <v>1.7680000000000001E-2</v>
      </c>
      <c r="AB255" s="115">
        <f t="shared" si="91"/>
        <v>1.78E-2</v>
      </c>
      <c r="AC255" s="115">
        <f t="shared" si="91"/>
        <v>1.7919999999999998E-2</v>
      </c>
      <c r="AD255" s="115">
        <f t="shared" si="91"/>
        <v>1.805E-2</v>
      </c>
      <c r="AE255" s="115">
        <f t="shared" si="91"/>
        <v>1.8180000000000002E-2</v>
      </c>
      <c r="AF255" s="115">
        <f t="shared" si="91"/>
        <v>1.831E-2</v>
      </c>
      <c r="AG255" s="115">
        <f t="shared" si="91"/>
        <v>1.848E-2</v>
      </c>
      <c r="AH255" s="115">
        <f t="shared" si="91"/>
        <v>1.865E-2</v>
      </c>
      <c r="AI255" s="115">
        <f t="shared" si="91"/>
        <v>1.882E-2</v>
      </c>
      <c r="AJ255" s="115">
        <f t="shared" si="91"/>
        <v>1.899E-2</v>
      </c>
      <c r="AK255" s="115">
        <f t="shared" si="91"/>
        <v>1.916E-2</v>
      </c>
      <c r="AL255" s="115">
        <f t="shared" si="91"/>
        <v>1.933E-2</v>
      </c>
      <c r="AM255" s="115">
        <f t="shared" si="91"/>
        <v>1.951E-2</v>
      </c>
      <c r="AN255" s="115">
        <f t="shared" si="91"/>
        <v>1.9689999999999999E-2</v>
      </c>
      <c r="AO255" s="115">
        <f t="shared" si="91"/>
        <v>1.9869999999999999E-2</v>
      </c>
      <c r="AP255" s="115">
        <f t="shared" si="91"/>
        <v>2.0049999999999998E-2</v>
      </c>
      <c r="AQ255" s="117"/>
    </row>
    <row r="256" spans="2:43">
      <c r="B256" s="48" t="s">
        <v>202</v>
      </c>
      <c r="C256" s="115">
        <f>0.09*0.01</f>
        <v>8.9999999999999998E-4</v>
      </c>
      <c r="D256" s="115">
        <f>ROUND(C256*(1+(0.7*D42)),5)</f>
        <v>9.1E-4</v>
      </c>
      <c r="E256" s="115">
        <f t="shared" ref="E256:AP256" si="92">ROUND(D256*(1+(0.7*E42)),5)</f>
        <v>9.2000000000000003E-4</v>
      </c>
      <c r="F256" s="115">
        <f t="shared" si="92"/>
        <v>9.3000000000000005E-4</v>
      </c>
      <c r="G256" s="115">
        <f t="shared" si="92"/>
        <v>9.5E-4</v>
      </c>
      <c r="H256" s="115">
        <f t="shared" si="92"/>
        <v>9.6000000000000002E-4</v>
      </c>
      <c r="I256" s="115">
        <f t="shared" si="92"/>
        <v>9.7000000000000005E-4</v>
      </c>
      <c r="J256" s="115">
        <f t="shared" si="92"/>
        <v>9.7999999999999997E-4</v>
      </c>
      <c r="K256" s="115">
        <f t="shared" si="92"/>
        <v>9.8999999999999999E-4</v>
      </c>
      <c r="L256" s="115">
        <f t="shared" si="92"/>
        <v>1E-3</v>
      </c>
      <c r="M256" s="115">
        <f t="shared" si="92"/>
        <v>1.01E-3</v>
      </c>
      <c r="N256" s="115">
        <f t="shared" si="92"/>
        <v>1.0200000000000001E-3</v>
      </c>
      <c r="O256" s="115">
        <f t="shared" si="92"/>
        <v>1.0300000000000001E-3</v>
      </c>
      <c r="P256" s="115">
        <f t="shared" si="92"/>
        <v>1.0399999999999999E-3</v>
      </c>
      <c r="Q256" s="115">
        <f t="shared" si="92"/>
        <v>1.0499999999999999E-3</v>
      </c>
      <c r="R256" s="115">
        <f t="shared" si="92"/>
        <v>1.06E-3</v>
      </c>
      <c r="S256" s="115">
        <f t="shared" si="92"/>
        <v>1.07E-3</v>
      </c>
      <c r="T256" s="115">
        <f t="shared" si="92"/>
        <v>1.08E-3</v>
      </c>
      <c r="U256" s="115">
        <f t="shared" si="92"/>
        <v>1.09E-3</v>
      </c>
      <c r="V256" s="115">
        <f t="shared" si="92"/>
        <v>1.1000000000000001E-3</v>
      </c>
      <c r="W256" s="115">
        <f t="shared" si="92"/>
        <v>1.1100000000000001E-3</v>
      </c>
      <c r="X256" s="115">
        <f t="shared" si="92"/>
        <v>1.1199999999999999E-3</v>
      </c>
      <c r="Y256" s="115">
        <f t="shared" si="92"/>
        <v>1.1299999999999999E-3</v>
      </c>
      <c r="Z256" s="115">
        <f t="shared" si="92"/>
        <v>1.14E-3</v>
      </c>
      <c r="AA256" s="115">
        <f t="shared" si="92"/>
        <v>1.15E-3</v>
      </c>
      <c r="AB256" s="115">
        <f t="shared" si="92"/>
        <v>1.16E-3</v>
      </c>
      <c r="AC256" s="115">
        <f t="shared" si="92"/>
        <v>1.17E-3</v>
      </c>
      <c r="AD256" s="115">
        <f t="shared" si="92"/>
        <v>1.1800000000000001E-3</v>
      </c>
      <c r="AE256" s="115">
        <f t="shared" si="92"/>
        <v>1.1900000000000001E-3</v>
      </c>
      <c r="AF256" s="115">
        <f t="shared" si="92"/>
        <v>1.1999999999999999E-3</v>
      </c>
      <c r="AG256" s="115">
        <f t="shared" si="92"/>
        <v>1.2099999999999999E-3</v>
      </c>
      <c r="AH256" s="115">
        <f t="shared" si="92"/>
        <v>1.2199999999999999E-3</v>
      </c>
      <c r="AI256" s="115">
        <f t="shared" si="92"/>
        <v>1.23E-3</v>
      </c>
      <c r="AJ256" s="115">
        <f t="shared" si="92"/>
        <v>1.24E-3</v>
      </c>
      <c r="AK256" s="115">
        <f t="shared" si="92"/>
        <v>1.25E-3</v>
      </c>
      <c r="AL256" s="115">
        <f t="shared" si="92"/>
        <v>1.2600000000000001E-3</v>
      </c>
      <c r="AM256" s="115">
        <f t="shared" si="92"/>
        <v>1.2700000000000001E-3</v>
      </c>
      <c r="AN256" s="115">
        <f t="shared" si="92"/>
        <v>1.2800000000000001E-3</v>
      </c>
      <c r="AO256" s="115">
        <f t="shared" si="92"/>
        <v>1.2899999999999999E-3</v>
      </c>
      <c r="AP256" s="115">
        <f t="shared" si="92"/>
        <v>1.2999999999999999E-3</v>
      </c>
      <c r="AQ256" s="117"/>
    </row>
    <row r="257" spans="2:43">
      <c r="B257" s="48" t="s">
        <v>207</v>
      </c>
      <c r="C257" s="115">
        <f>0.01*0.01</f>
        <v>1E-4</v>
      </c>
      <c r="D257" s="115">
        <f>ROUND(C257*(1+(0.7*D42)),5)</f>
        <v>1E-4</v>
      </c>
      <c r="E257" s="115">
        <f t="shared" ref="E257:AP257" si="93">ROUND(D257*(1+(0.7*E42)),5)</f>
        <v>1E-4</v>
      </c>
      <c r="F257" s="115">
        <f t="shared" si="93"/>
        <v>1E-4</v>
      </c>
      <c r="G257" s="115">
        <f t="shared" si="93"/>
        <v>1E-4</v>
      </c>
      <c r="H257" s="115">
        <f t="shared" si="93"/>
        <v>1E-4</v>
      </c>
      <c r="I257" s="115">
        <f t="shared" si="93"/>
        <v>1E-4</v>
      </c>
      <c r="J257" s="115">
        <f t="shared" si="93"/>
        <v>1E-4</v>
      </c>
      <c r="K257" s="115">
        <f t="shared" si="93"/>
        <v>1E-4</v>
      </c>
      <c r="L257" s="115">
        <f t="shared" si="93"/>
        <v>1E-4</v>
      </c>
      <c r="M257" s="115">
        <f t="shared" si="93"/>
        <v>1E-4</v>
      </c>
      <c r="N257" s="115">
        <f t="shared" si="93"/>
        <v>1E-4</v>
      </c>
      <c r="O257" s="115">
        <f t="shared" si="93"/>
        <v>1E-4</v>
      </c>
      <c r="P257" s="115">
        <f t="shared" si="93"/>
        <v>1E-4</v>
      </c>
      <c r="Q257" s="115">
        <f t="shared" si="93"/>
        <v>1E-4</v>
      </c>
      <c r="R257" s="115">
        <f t="shared" si="93"/>
        <v>1E-4</v>
      </c>
      <c r="S257" s="115">
        <f t="shared" si="93"/>
        <v>1E-4</v>
      </c>
      <c r="T257" s="115">
        <f t="shared" si="93"/>
        <v>1E-4</v>
      </c>
      <c r="U257" s="115">
        <f t="shared" si="93"/>
        <v>1E-4</v>
      </c>
      <c r="V257" s="115">
        <f t="shared" si="93"/>
        <v>1E-4</v>
      </c>
      <c r="W257" s="115">
        <f t="shared" si="93"/>
        <v>1E-4</v>
      </c>
      <c r="X257" s="115">
        <f t="shared" si="93"/>
        <v>1E-4</v>
      </c>
      <c r="Y257" s="115">
        <f t="shared" si="93"/>
        <v>1E-4</v>
      </c>
      <c r="Z257" s="115">
        <f t="shared" si="93"/>
        <v>1E-4</v>
      </c>
      <c r="AA257" s="115">
        <f t="shared" si="93"/>
        <v>1E-4</v>
      </c>
      <c r="AB257" s="115">
        <f t="shared" si="93"/>
        <v>1E-4</v>
      </c>
      <c r="AC257" s="115">
        <f t="shared" si="93"/>
        <v>1E-4</v>
      </c>
      <c r="AD257" s="115">
        <f t="shared" si="93"/>
        <v>1E-4</v>
      </c>
      <c r="AE257" s="115">
        <f t="shared" si="93"/>
        <v>1E-4</v>
      </c>
      <c r="AF257" s="115">
        <f t="shared" si="93"/>
        <v>1E-4</v>
      </c>
      <c r="AG257" s="115">
        <f t="shared" si="93"/>
        <v>1E-4</v>
      </c>
      <c r="AH257" s="115">
        <f t="shared" si="93"/>
        <v>1E-4</v>
      </c>
      <c r="AI257" s="115">
        <f t="shared" si="93"/>
        <v>1E-4</v>
      </c>
      <c r="AJ257" s="115">
        <f t="shared" si="93"/>
        <v>1E-4</v>
      </c>
      <c r="AK257" s="115">
        <f t="shared" si="93"/>
        <v>1E-4</v>
      </c>
      <c r="AL257" s="115">
        <f t="shared" si="93"/>
        <v>1E-4</v>
      </c>
      <c r="AM257" s="115">
        <f t="shared" si="93"/>
        <v>1E-4</v>
      </c>
      <c r="AN257" s="115">
        <f t="shared" si="93"/>
        <v>1E-4</v>
      </c>
      <c r="AO257" s="115">
        <f t="shared" si="93"/>
        <v>1E-4</v>
      </c>
      <c r="AP257" s="115">
        <f t="shared" si="93"/>
        <v>1E-4</v>
      </c>
      <c r="AQ257" s="117"/>
    </row>
    <row r="258" spans="2:43">
      <c r="B258" s="48" t="s">
        <v>198</v>
      </c>
      <c r="C258" s="115">
        <f>2.95*0.01</f>
        <v>2.9500000000000002E-2</v>
      </c>
      <c r="D258" s="115">
        <f>ROUND(C258*(1+(0.7*D42)),5)</f>
        <v>2.9839999999999998E-2</v>
      </c>
      <c r="E258" s="115">
        <f t="shared" ref="E258:AP258" si="94">ROUND(D258*(1+(0.7*E42)),5)</f>
        <v>3.0099999999999998E-2</v>
      </c>
      <c r="F258" s="115">
        <f t="shared" si="94"/>
        <v>3.0360000000000002E-2</v>
      </c>
      <c r="G258" s="115">
        <f t="shared" si="94"/>
        <v>3.1029999999999999E-2</v>
      </c>
      <c r="H258" s="115">
        <f t="shared" si="94"/>
        <v>3.1489999999999997E-2</v>
      </c>
      <c r="I258" s="115">
        <f t="shared" si="94"/>
        <v>3.1949999999999999E-2</v>
      </c>
      <c r="J258" s="115">
        <f t="shared" si="94"/>
        <v>3.2329999999999998E-2</v>
      </c>
      <c r="K258" s="115">
        <f t="shared" si="94"/>
        <v>3.2710000000000003E-2</v>
      </c>
      <c r="L258" s="115">
        <f t="shared" si="94"/>
        <v>3.3099999999999997E-2</v>
      </c>
      <c r="M258" s="115">
        <f t="shared" si="94"/>
        <v>3.338E-2</v>
      </c>
      <c r="N258" s="115">
        <f t="shared" si="94"/>
        <v>3.3660000000000002E-2</v>
      </c>
      <c r="O258" s="115">
        <f t="shared" si="94"/>
        <v>3.3939999999999998E-2</v>
      </c>
      <c r="P258" s="115">
        <f t="shared" si="94"/>
        <v>3.4229999999999997E-2</v>
      </c>
      <c r="Q258" s="115">
        <f t="shared" si="94"/>
        <v>3.4520000000000002E-2</v>
      </c>
      <c r="R258" s="115">
        <f t="shared" si="94"/>
        <v>3.4810000000000001E-2</v>
      </c>
      <c r="S258" s="115">
        <f t="shared" si="94"/>
        <v>3.5099999999999999E-2</v>
      </c>
      <c r="T258" s="115">
        <f t="shared" si="94"/>
        <v>3.5389999999999998E-2</v>
      </c>
      <c r="U258" s="115">
        <f t="shared" si="94"/>
        <v>3.569E-2</v>
      </c>
      <c r="V258" s="115">
        <f t="shared" si="94"/>
        <v>3.5990000000000001E-2</v>
      </c>
      <c r="W258" s="115">
        <f t="shared" si="94"/>
        <v>3.6240000000000001E-2</v>
      </c>
      <c r="X258" s="115">
        <f t="shared" si="94"/>
        <v>3.6490000000000002E-2</v>
      </c>
      <c r="Y258" s="115">
        <f t="shared" si="94"/>
        <v>3.6749999999999998E-2</v>
      </c>
      <c r="Z258" s="115">
        <f t="shared" si="94"/>
        <v>3.7010000000000001E-2</v>
      </c>
      <c r="AA258" s="115">
        <f t="shared" si="94"/>
        <v>3.7269999999999998E-2</v>
      </c>
      <c r="AB258" s="115">
        <f t="shared" si="94"/>
        <v>3.7530000000000001E-2</v>
      </c>
      <c r="AC258" s="115">
        <f t="shared" si="94"/>
        <v>3.7789999999999997E-2</v>
      </c>
      <c r="AD258" s="115">
        <f t="shared" si="94"/>
        <v>3.805E-2</v>
      </c>
      <c r="AE258" s="115">
        <f t="shared" si="94"/>
        <v>3.832E-2</v>
      </c>
      <c r="AF258" s="115">
        <f t="shared" si="94"/>
        <v>3.8589999999999999E-2</v>
      </c>
      <c r="AG258" s="115">
        <f t="shared" si="94"/>
        <v>3.8940000000000002E-2</v>
      </c>
      <c r="AH258" s="115">
        <f t="shared" si="94"/>
        <v>3.9289999999999999E-2</v>
      </c>
      <c r="AI258" s="115">
        <f t="shared" si="94"/>
        <v>3.9649999999999998E-2</v>
      </c>
      <c r="AJ258" s="115">
        <f t="shared" si="94"/>
        <v>4.0009999999999997E-2</v>
      </c>
      <c r="AK258" s="115">
        <f t="shared" si="94"/>
        <v>4.0370000000000003E-2</v>
      </c>
      <c r="AL258" s="115">
        <f t="shared" si="94"/>
        <v>4.0739999999999998E-2</v>
      </c>
      <c r="AM258" s="115">
        <f t="shared" si="94"/>
        <v>4.1110000000000001E-2</v>
      </c>
      <c r="AN258" s="115">
        <f t="shared" si="94"/>
        <v>4.1480000000000003E-2</v>
      </c>
      <c r="AO258" s="115">
        <f t="shared" si="94"/>
        <v>4.1860000000000001E-2</v>
      </c>
      <c r="AP258" s="115">
        <f t="shared" si="94"/>
        <v>4.224E-2</v>
      </c>
      <c r="AQ258" s="117"/>
    </row>
    <row r="259" spans="2:43">
      <c r="B259" s="48" t="s">
        <v>203</v>
      </c>
      <c r="C259" s="115">
        <f>0.18*0.01</f>
        <v>1.8E-3</v>
      </c>
      <c r="D259" s="115">
        <f>ROUND(C259*(1+(0.7*D42)),5)</f>
        <v>1.82E-3</v>
      </c>
      <c r="E259" s="115">
        <f t="shared" ref="E259:AP259" si="95">ROUND(D259*(1+(0.7*E42)),5)</f>
        <v>1.8400000000000001E-3</v>
      </c>
      <c r="F259" s="115">
        <f t="shared" si="95"/>
        <v>1.8600000000000001E-3</v>
      </c>
      <c r="G259" s="115">
        <f t="shared" si="95"/>
        <v>1.9E-3</v>
      </c>
      <c r="H259" s="115">
        <f t="shared" si="95"/>
        <v>1.9300000000000001E-3</v>
      </c>
      <c r="I259" s="115">
        <f t="shared" si="95"/>
        <v>1.9599999999999999E-3</v>
      </c>
      <c r="J259" s="115">
        <f t="shared" si="95"/>
        <v>1.98E-3</v>
      </c>
      <c r="K259" s="115">
        <f t="shared" si="95"/>
        <v>2E-3</v>
      </c>
      <c r="L259" s="115">
        <f t="shared" si="95"/>
        <v>2.0200000000000001E-3</v>
      </c>
      <c r="M259" s="115">
        <f t="shared" si="95"/>
        <v>2.0400000000000001E-3</v>
      </c>
      <c r="N259" s="115">
        <f t="shared" si="95"/>
        <v>2.0600000000000002E-3</v>
      </c>
      <c r="O259" s="115">
        <f t="shared" si="95"/>
        <v>2.0799999999999998E-3</v>
      </c>
      <c r="P259" s="115">
        <f t="shared" si="95"/>
        <v>2.0999999999999999E-3</v>
      </c>
      <c r="Q259" s="115">
        <f t="shared" si="95"/>
        <v>2.1199999999999999E-3</v>
      </c>
      <c r="R259" s="115">
        <f t="shared" si="95"/>
        <v>2.14E-3</v>
      </c>
      <c r="S259" s="115">
        <f t="shared" si="95"/>
        <v>2.16E-3</v>
      </c>
      <c r="T259" s="115">
        <f t="shared" si="95"/>
        <v>2.1800000000000001E-3</v>
      </c>
      <c r="U259" s="115">
        <f t="shared" si="95"/>
        <v>2.2000000000000001E-3</v>
      </c>
      <c r="V259" s="115">
        <f t="shared" si="95"/>
        <v>2.2200000000000002E-3</v>
      </c>
      <c r="W259" s="115">
        <f t="shared" si="95"/>
        <v>2.2399999999999998E-3</v>
      </c>
      <c r="X259" s="115">
        <f t="shared" si="95"/>
        <v>2.2599999999999999E-3</v>
      </c>
      <c r="Y259" s="115">
        <f t="shared" si="95"/>
        <v>2.2799999999999999E-3</v>
      </c>
      <c r="Z259" s="115">
        <f t="shared" si="95"/>
        <v>2.3E-3</v>
      </c>
      <c r="AA259" s="115">
        <f t="shared" si="95"/>
        <v>2.32E-3</v>
      </c>
      <c r="AB259" s="115">
        <f t="shared" si="95"/>
        <v>2.3400000000000001E-3</v>
      </c>
      <c r="AC259" s="115">
        <f t="shared" si="95"/>
        <v>2.3600000000000001E-3</v>
      </c>
      <c r="AD259" s="115">
        <f t="shared" si="95"/>
        <v>2.3800000000000002E-3</v>
      </c>
      <c r="AE259" s="115">
        <f t="shared" si="95"/>
        <v>2.3999999999999998E-3</v>
      </c>
      <c r="AF259" s="115">
        <f t="shared" si="95"/>
        <v>2.4199999999999998E-3</v>
      </c>
      <c r="AG259" s="115">
        <f t="shared" si="95"/>
        <v>2.4399999999999999E-3</v>
      </c>
      <c r="AH259" s="115">
        <f t="shared" si="95"/>
        <v>2.4599999999999999E-3</v>
      </c>
      <c r="AI259" s="115">
        <f t="shared" si="95"/>
        <v>2.48E-3</v>
      </c>
      <c r="AJ259" s="115">
        <f t="shared" si="95"/>
        <v>2.5000000000000001E-3</v>
      </c>
      <c r="AK259" s="115">
        <f t="shared" si="95"/>
        <v>2.5200000000000001E-3</v>
      </c>
      <c r="AL259" s="115">
        <f t="shared" si="95"/>
        <v>2.5400000000000002E-3</v>
      </c>
      <c r="AM259" s="115">
        <f t="shared" si="95"/>
        <v>2.5600000000000002E-3</v>
      </c>
      <c r="AN259" s="115">
        <f t="shared" si="95"/>
        <v>2.5799999999999998E-3</v>
      </c>
      <c r="AO259" s="115">
        <f t="shared" si="95"/>
        <v>2.5999999999999999E-3</v>
      </c>
      <c r="AP259" s="115">
        <f t="shared" si="95"/>
        <v>2.6199999999999999E-3</v>
      </c>
      <c r="AQ259" s="117"/>
    </row>
    <row r="260" spans="2:43">
      <c r="B260" s="48" t="s">
        <v>208</v>
      </c>
      <c r="C260" s="115">
        <f>0.02*0.01</f>
        <v>2.0000000000000001E-4</v>
      </c>
      <c r="D260" s="115">
        <f>ROUND(C260*(1+(0.7*D42)),5)</f>
        <v>2.0000000000000001E-4</v>
      </c>
      <c r="E260" s="115">
        <f t="shared" ref="E260:AP260" si="96">ROUND(D260*(1+(0.7*E42)),5)</f>
        <v>2.0000000000000001E-4</v>
      </c>
      <c r="F260" s="115">
        <f t="shared" si="96"/>
        <v>2.0000000000000001E-4</v>
      </c>
      <c r="G260" s="115">
        <f t="shared" si="96"/>
        <v>2.0000000000000001E-4</v>
      </c>
      <c r="H260" s="115">
        <f t="shared" si="96"/>
        <v>2.0000000000000001E-4</v>
      </c>
      <c r="I260" s="115">
        <f t="shared" si="96"/>
        <v>2.0000000000000001E-4</v>
      </c>
      <c r="J260" s="115">
        <f t="shared" si="96"/>
        <v>2.0000000000000001E-4</v>
      </c>
      <c r="K260" s="115">
        <f t="shared" si="96"/>
        <v>2.0000000000000001E-4</v>
      </c>
      <c r="L260" s="115">
        <f t="shared" si="96"/>
        <v>2.0000000000000001E-4</v>
      </c>
      <c r="M260" s="115">
        <f t="shared" si="96"/>
        <v>2.0000000000000001E-4</v>
      </c>
      <c r="N260" s="115">
        <f t="shared" si="96"/>
        <v>2.0000000000000001E-4</v>
      </c>
      <c r="O260" s="115">
        <f t="shared" si="96"/>
        <v>2.0000000000000001E-4</v>
      </c>
      <c r="P260" s="115">
        <f t="shared" si="96"/>
        <v>2.0000000000000001E-4</v>
      </c>
      <c r="Q260" s="115">
        <f t="shared" si="96"/>
        <v>2.0000000000000001E-4</v>
      </c>
      <c r="R260" s="115">
        <f t="shared" si="96"/>
        <v>2.0000000000000001E-4</v>
      </c>
      <c r="S260" s="115">
        <f t="shared" si="96"/>
        <v>2.0000000000000001E-4</v>
      </c>
      <c r="T260" s="115">
        <f t="shared" si="96"/>
        <v>2.0000000000000001E-4</v>
      </c>
      <c r="U260" s="115">
        <f t="shared" si="96"/>
        <v>2.0000000000000001E-4</v>
      </c>
      <c r="V260" s="115">
        <f t="shared" si="96"/>
        <v>2.0000000000000001E-4</v>
      </c>
      <c r="W260" s="115">
        <f t="shared" si="96"/>
        <v>2.0000000000000001E-4</v>
      </c>
      <c r="X260" s="115">
        <f t="shared" si="96"/>
        <v>2.0000000000000001E-4</v>
      </c>
      <c r="Y260" s="115">
        <f t="shared" si="96"/>
        <v>2.0000000000000001E-4</v>
      </c>
      <c r="Z260" s="115">
        <f t="shared" si="96"/>
        <v>2.0000000000000001E-4</v>
      </c>
      <c r="AA260" s="115">
        <f t="shared" si="96"/>
        <v>2.0000000000000001E-4</v>
      </c>
      <c r="AB260" s="115">
        <f t="shared" si="96"/>
        <v>2.0000000000000001E-4</v>
      </c>
      <c r="AC260" s="115">
        <f t="shared" si="96"/>
        <v>2.0000000000000001E-4</v>
      </c>
      <c r="AD260" s="115">
        <f t="shared" si="96"/>
        <v>2.0000000000000001E-4</v>
      </c>
      <c r="AE260" s="115">
        <f t="shared" si="96"/>
        <v>2.0000000000000001E-4</v>
      </c>
      <c r="AF260" s="115">
        <f t="shared" si="96"/>
        <v>2.0000000000000001E-4</v>
      </c>
      <c r="AG260" s="115">
        <f t="shared" si="96"/>
        <v>2.0000000000000001E-4</v>
      </c>
      <c r="AH260" s="115">
        <f t="shared" si="96"/>
        <v>2.0000000000000001E-4</v>
      </c>
      <c r="AI260" s="115">
        <f t="shared" si="96"/>
        <v>2.0000000000000001E-4</v>
      </c>
      <c r="AJ260" s="115">
        <f t="shared" si="96"/>
        <v>2.0000000000000001E-4</v>
      </c>
      <c r="AK260" s="115">
        <f t="shared" si="96"/>
        <v>2.0000000000000001E-4</v>
      </c>
      <c r="AL260" s="115">
        <f t="shared" si="96"/>
        <v>2.0000000000000001E-4</v>
      </c>
      <c r="AM260" s="115">
        <f t="shared" si="96"/>
        <v>2.0000000000000001E-4</v>
      </c>
      <c r="AN260" s="115">
        <f t="shared" si="96"/>
        <v>2.0000000000000001E-4</v>
      </c>
      <c r="AO260" s="115">
        <f t="shared" si="96"/>
        <v>2.0000000000000001E-4</v>
      </c>
      <c r="AP260" s="115">
        <f t="shared" si="96"/>
        <v>2.0000000000000001E-4</v>
      </c>
      <c r="AQ260" s="117"/>
    </row>
    <row r="261" spans="2:43">
      <c r="B261" s="48" t="s">
        <v>199</v>
      </c>
      <c r="C261" s="115">
        <f>11.75*0.01</f>
        <v>0.11750000000000001</v>
      </c>
      <c r="D261" s="115">
        <f>ROUND(C261*(1+(0.7*D42)),5)</f>
        <v>0.11887</v>
      </c>
      <c r="E261" s="115">
        <f t="shared" ref="E261:AP261" si="97">ROUND(D261*(1+(0.7*E42)),5)</f>
        <v>0.11990000000000001</v>
      </c>
      <c r="F261" s="115">
        <f t="shared" si="97"/>
        <v>0.12095</v>
      </c>
      <c r="G261" s="115">
        <f t="shared" si="97"/>
        <v>0.12361999999999999</v>
      </c>
      <c r="H261" s="115">
        <f t="shared" si="97"/>
        <v>0.12545999999999999</v>
      </c>
      <c r="I261" s="115">
        <f t="shared" si="97"/>
        <v>0.12728999999999999</v>
      </c>
      <c r="J261" s="115">
        <f t="shared" si="97"/>
        <v>0.1288</v>
      </c>
      <c r="K261" s="115">
        <f t="shared" si="97"/>
        <v>0.13033</v>
      </c>
      <c r="L261" s="115">
        <f t="shared" si="97"/>
        <v>0.13188</v>
      </c>
      <c r="M261" s="115">
        <f t="shared" si="97"/>
        <v>0.13299</v>
      </c>
      <c r="N261" s="115">
        <f t="shared" si="97"/>
        <v>0.13411000000000001</v>
      </c>
      <c r="O261" s="115">
        <f t="shared" si="97"/>
        <v>0.13524</v>
      </c>
      <c r="P261" s="115">
        <f t="shared" si="97"/>
        <v>0.13638</v>
      </c>
      <c r="Q261" s="115">
        <f t="shared" si="97"/>
        <v>0.13753000000000001</v>
      </c>
      <c r="R261" s="115">
        <f t="shared" si="97"/>
        <v>0.13869000000000001</v>
      </c>
      <c r="S261" s="115">
        <f t="shared" si="97"/>
        <v>0.13985</v>
      </c>
      <c r="T261" s="115">
        <f t="shared" si="97"/>
        <v>0.14102000000000001</v>
      </c>
      <c r="U261" s="115">
        <f t="shared" si="97"/>
        <v>0.14219999999999999</v>
      </c>
      <c r="V261" s="115">
        <f t="shared" si="97"/>
        <v>0.14338999999999999</v>
      </c>
      <c r="W261" s="115">
        <f t="shared" si="97"/>
        <v>0.14438999999999999</v>
      </c>
      <c r="X261" s="115">
        <f t="shared" si="97"/>
        <v>0.1454</v>
      </c>
      <c r="Y261" s="115">
        <f t="shared" si="97"/>
        <v>0.14641999999999999</v>
      </c>
      <c r="Z261" s="115">
        <f t="shared" si="97"/>
        <v>0.14743999999999999</v>
      </c>
      <c r="AA261" s="115">
        <f t="shared" si="97"/>
        <v>0.14846999999999999</v>
      </c>
      <c r="AB261" s="115">
        <f t="shared" si="97"/>
        <v>0.14951</v>
      </c>
      <c r="AC261" s="115">
        <f t="shared" si="97"/>
        <v>0.15056</v>
      </c>
      <c r="AD261" s="115">
        <f t="shared" si="97"/>
        <v>0.15160999999999999</v>
      </c>
      <c r="AE261" s="115">
        <f t="shared" si="97"/>
        <v>0.15267</v>
      </c>
      <c r="AF261" s="115">
        <f t="shared" si="97"/>
        <v>0.15373999999999999</v>
      </c>
      <c r="AG261" s="115">
        <f t="shared" si="97"/>
        <v>0.15514</v>
      </c>
      <c r="AH261" s="115">
        <f t="shared" si="97"/>
        <v>0.15654999999999999</v>
      </c>
      <c r="AI261" s="115">
        <f t="shared" si="97"/>
        <v>0.15797</v>
      </c>
      <c r="AJ261" s="115">
        <f t="shared" si="97"/>
        <v>0.15941</v>
      </c>
      <c r="AK261" s="115">
        <f t="shared" si="97"/>
        <v>0.16086</v>
      </c>
      <c r="AL261" s="115">
        <f t="shared" si="97"/>
        <v>0.16231999999999999</v>
      </c>
      <c r="AM261" s="115">
        <f t="shared" si="97"/>
        <v>0.1638</v>
      </c>
      <c r="AN261" s="115">
        <f t="shared" si="97"/>
        <v>0.16528999999999999</v>
      </c>
      <c r="AO261" s="115">
        <f t="shared" si="97"/>
        <v>0.16678999999999999</v>
      </c>
      <c r="AP261" s="115">
        <f t="shared" si="97"/>
        <v>0.16830999999999999</v>
      </c>
      <c r="AQ261" s="117"/>
    </row>
    <row r="262" spans="2:43">
      <c r="B262" s="48" t="s">
        <v>204</v>
      </c>
      <c r="C262" s="115">
        <f>0.73*0.01</f>
        <v>7.3000000000000001E-3</v>
      </c>
      <c r="D262" s="115">
        <f>ROUND(C262*(1+(0.7*D42)),5)</f>
        <v>7.3899999999999999E-3</v>
      </c>
      <c r="E262" s="115">
        <f t="shared" ref="E262:AP262" si="98">ROUND(D262*(1+(0.7*E42)),5)</f>
        <v>7.45E-3</v>
      </c>
      <c r="F262" s="115">
        <f t="shared" si="98"/>
        <v>7.5199999999999998E-3</v>
      </c>
      <c r="G262" s="115">
        <f t="shared" si="98"/>
        <v>7.6899999999999998E-3</v>
      </c>
      <c r="H262" s="115">
        <f t="shared" si="98"/>
        <v>7.7999999999999996E-3</v>
      </c>
      <c r="I262" s="115">
        <f t="shared" si="98"/>
        <v>7.9100000000000004E-3</v>
      </c>
      <c r="J262" s="115">
        <f t="shared" si="98"/>
        <v>8.0000000000000002E-3</v>
      </c>
      <c r="K262" s="115">
        <f t="shared" si="98"/>
        <v>8.0999999999999996E-3</v>
      </c>
      <c r="L262" s="115">
        <f t="shared" si="98"/>
        <v>8.2000000000000007E-3</v>
      </c>
      <c r="M262" s="115">
        <f t="shared" si="98"/>
        <v>8.2699999999999996E-3</v>
      </c>
      <c r="N262" s="115">
        <f t="shared" si="98"/>
        <v>8.3400000000000002E-3</v>
      </c>
      <c r="O262" s="115">
        <f t="shared" si="98"/>
        <v>8.4100000000000008E-3</v>
      </c>
      <c r="P262" s="115">
        <f t="shared" si="98"/>
        <v>8.4799999999999997E-3</v>
      </c>
      <c r="Q262" s="115">
        <f t="shared" si="98"/>
        <v>8.5500000000000003E-3</v>
      </c>
      <c r="R262" s="115">
        <f t="shared" si="98"/>
        <v>8.6199999999999992E-3</v>
      </c>
      <c r="S262" s="115">
        <f t="shared" si="98"/>
        <v>8.6899999999999998E-3</v>
      </c>
      <c r="T262" s="115">
        <f t="shared" si="98"/>
        <v>8.7600000000000004E-3</v>
      </c>
      <c r="U262" s="115">
        <f t="shared" si="98"/>
        <v>8.8299999999999993E-3</v>
      </c>
      <c r="V262" s="115">
        <f t="shared" si="98"/>
        <v>8.8999999999999999E-3</v>
      </c>
      <c r="W262" s="115">
        <f t="shared" si="98"/>
        <v>8.9599999999999992E-3</v>
      </c>
      <c r="X262" s="115">
        <f t="shared" si="98"/>
        <v>9.0200000000000002E-3</v>
      </c>
      <c r="Y262" s="115">
        <f t="shared" si="98"/>
        <v>9.0799999999999995E-3</v>
      </c>
      <c r="Z262" s="115">
        <f t="shared" si="98"/>
        <v>9.1400000000000006E-3</v>
      </c>
      <c r="AA262" s="115">
        <f t="shared" si="98"/>
        <v>9.1999999999999998E-3</v>
      </c>
      <c r="AB262" s="115">
        <f t="shared" si="98"/>
        <v>9.2599999999999991E-3</v>
      </c>
      <c r="AC262" s="115">
        <f t="shared" si="98"/>
        <v>9.3200000000000002E-3</v>
      </c>
      <c r="AD262" s="115">
        <f t="shared" si="98"/>
        <v>9.3900000000000008E-3</v>
      </c>
      <c r="AE262" s="115">
        <f t="shared" si="98"/>
        <v>9.4599999999999997E-3</v>
      </c>
      <c r="AF262" s="115">
        <f t="shared" si="98"/>
        <v>9.5300000000000003E-3</v>
      </c>
      <c r="AG262" s="115">
        <f t="shared" si="98"/>
        <v>9.6200000000000001E-3</v>
      </c>
      <c r="AH262" s="115">
        <f t="shared" si="98"/>
        <v>9.7099999999999999E-3</v>
      </c>
      <c r="AI262" s="115">
        <f t="shared" si="98"/>
        <v>9.7999999999999997E-3</v>
      </c>
      <c r="AJ262" s="115">
        <f t="shared" si="98"/>
        <v>9.8899999999999995E-3</v>
      </c>
      <c r="AK262" s="115">
        <f t="shared" si="98"/>
        <v>9.9799999999999993E-3</v>
      </c>
      <c r="AL262" s="115">
        <f t="shared" si="98"/>
        <v>1.0070000000000001E-2</v>
      </c>
      <c r="AM262" s="115">
        <f t="shared" si="98"/>
        <v>1.0160000000000001E-2</v>
      </c>
      <c r="AN262" s="115">
        <f t="shared" si="98"/>
        <v>1.025E-2</v>
      </c>
      <c r="AO262" s="115">
        <f t="shared" si="98"/>
        <v>1.034E-2</v>
      </c>
      <c r="AP262" s="115">
        <f t="shared" si="98"/>
        <v>1.043E-2</v>
      </c>
      <c r="AQ262" s="117"/>
    </row>
    <row r="263" spans="2:43">
      <c r="B263" s="48" t="s">
        <v>209</v>
      </c>
      <c r="C263" s="115">
        <f>0.09*0.01</f>
        <v>8.9999999999999998E-4</v>
      </c>
      <c r="D263" s="115">
        <f>ROUND(C263*(1+(0.7*D42)),5)</f>
        <v>9.1E-4</v>
      </c>
      <c r="E263" s="115">
        <f t="shared" ref="E263:AP263" si="99">ROUND(D263*(1+(0.7*E42)),5)</f>
        <v>9.2000000000000003E-4</v>
      </c>
      <c r="F263" s="115">
        <f t="shared" si="99"/>
        <v>9.3000000000000005E-4</v>
      </c>
      <c r="G263" s="115">
        <f t="shared" si="99"/>
        <v>9.5E-4</v>
      </c>
      <c r="H263" s="115">
        <f t="shared" si="99"/>
        <v>9.6000000000000002E-4</v>
      </c>
      <c r="I263" s="115">
        <f t="shared" si="99"/>
        <v>9.7000000000000005E-4</v>
      </c>
      <c r="J263" s="115">
        <f t="shared" si="99"/>
        <v>9.7999999999999997E-4</v>
      </c>
      <c r="K263" s="115">
        <f t="shared" si="99"/>
        <v>9.8999999999999999E-4</v>
      </c>
      <c r="L263" s="115">
        <f t="shared" si="99"/>
        <v>1E-3</v>
      </c>
      <c r="M263" s="115">
        <f t="shared" si="99"/>
        <v>1.01E-3</v>
      </c>
      <c r="N263" s="115">
        <f t="shared" si="99"/>
        <v>1.0200000000000001E-3</v>
      </c>
      <c r="O263" s="115">
        <f t="shared" si="99"/>
        <v>1.0300000000000001E-3</v>
      </c>
      <c r="P263" s="115">
        <f t="shared" si="99"/>
        <v>1.0399999999999999E-3</v>
      </c>
      <c r="Q263" s="115">
        <f t="shared" si="99"/>
        <v>1.0499999999999999E-3</v>
      </c>
      <c r="R263" s="115">
        <f t="shared" si="99"/>
        <v>1.06E-3</v>
      </c>
      <c r="S263" s="115">
        <f t="shared" si="99"/>
        <v>1.07E-3</v>
      </c>
      <c r="T263" s="115">
        <f t="shared" si="99"/>
        <v>1.08E-3</v>
      </c>
      <c r="U263" s="115">
        <f t="shared" si="99"/>
        <v>1.09E-3</v>
      </c>
      <c r="V263" s="115">
        <f t="shared" si="99"/>
        <v>1.1000000000000001E-3</v>
      </c>
      <c r="W263" s="115">
        <f t="shared" si="99"/>
        <v>1.1100000000000001E-3</v>
      </c>
      <c r="X263" s="115">
        <f t="shared" si="99"/>
        <v>1.1199999999999999E-3</v>
      </c>
      <c r="Y263" s="115">
        <f t="shared" si="99"/>
        <v>1.1299999999999999E-3</v>
      </c>
      <c r="Z263" s="115">
        <f t="shared" si="99"/>
        <v>1.14E-3</v>
      </c>
      <c r="AA263" s="115">
        <f t="shared" si="99"/>
        <v>1.15E-3</v>
      </c>
      <c r="AB263" s="115">
        <f t="shared" si="99"/>
        <v>1.16E-3</v>
      </c>
      <c r="AC263" s="115">
        <f t="shared" si="99"/>
        <v>1.17E-3</v>
      </c>
      <c r="AD263" s="115">
        <f t="shared" si="99"/>
        <v>1.1800000000000001E-3</v>
      </c>
      <c r="AE263" s="115">
        <f t="shared" si="99"/>
        <v>1.1900000000000001E-3</v>
      </c>
      <c r="AF263" s="115">
        <f t="shared" si="99"/>
        <v>1.1999999999999999E-3</v>
      </c>
      <c r="AG263" s="115">
        <f t="shared" si="99"/>
        <v>1.2099999999999999E-3</v>
      </c>
      <c r="AH263" s="115">
        <f t="shared" si="99"/>
        <v>1.2199999999999999E-3</v>
      </c>
      <c r="AI263" s="115">
        <f t="shared" si="99"/>
        <v>1.23E-3</v>
      </c>
      <c r="AJ263" s="115">
        <f t="shared" si="99"/>
        <v>1.24E-3</v>
      </c>
      <c r="AK263" s="115">
        <f t="shared" si="99"/>
        <v>1.25E-3</v>
      </c>
      <c r="AL263" s="115">
        <f t="shared" si="99"/>
        <v>1.2600000000000001E-3</v>
      </c>
      <c r="AM263" s="115">
        <f t="shared" si="99"/>
        <v>1.2700000000000001E-3</v>
      </c>
      <c r="AN263" s="115">
        <f t="shared" si="99"/>
        <v>1.2800000000000001E-3</v>
      </c>
      <c r="AO263" s="115">
        <f t="shared" si="99"/>
        <v>1.2899999999999999E-3</v>
      </c>
      <c r="AP263" s="115">
        <f t="shared" si="99"/>
        <v>1.2999999999999999E-3</v>
      </c>
      <c r="AQ263" s="117"/>
    </row>
    <row r="264" spans="2:43">
      <c r="B264" s="48" t="s">
        <v>200</v>
      </c>
      <c r="C264" s="115">
        <f>16.46*0.01</f>
        <v>0.16460000000000002</v>
      </c>
      <c r="D264" s="115">
        <f>ROUND(C264*(1+(0.7*D42)),5)</f>
        <v>0.16652</v>
      </c>
      <c r="E264" s="115">
        <f t="shared" ref="E264:AP264" si="100">ROUND(D264*(1+(0.7*E42)),5)</f>
        <v>0.16796</v>
      </c>
      <c r="F264" s="115">
        <f t="shared" si="100"/>
        <v>0.16943</v>
      </c>
      <c r="G264" s="115">
        <f t="shared" si="100"/>
        <v>0.17316000000000001</v>
      </c>
      <c r="H264" s="115">
        <f t="shared" si="100"/>
        <v>0.17574000000000001</v>
      </c>
      <c r="I264" s="115">
        <f t="shared" si="100"/>
        <v>0.17829999999999999</v>
      </c>
      <c r="J264" s="115">
        <f t="shared" si="100"/>
        <v>0.18042</v>
      </c>
      <c r="K264" s="115">
        <f t="shared" si="100"/>
        <v>0.18257000000000001</v>
      </c>
      <c r="L264" s="115">
        <f t="shared" si="100"/>
        <v>0.18473999999999999</v>
      </c>
      <c r="M264" s="115">
        <f t="shared" si="100"/>
        <v>0.18629000000000001</v>
      </c>
      <c r="N264" s="115">
        <f t="shared" si="100"/>
        <v>0.18784999999999999</v>
      </c>
      <c r="O264" s="115">
        <f t="shared" si="100"/>
        <v>0.18942999999999999</v>
      </c>
      <c r="P264" s="115">
        <f t="shared" si="100"/>
        <v>0.19102</v>
      </c>
      <c r="Q264" s="115">
        <f t="shared" si="100"/>
        <v>0.19262000000000001</v>
      </c>
      <c r="R264" s="115">
        <f t="shared" si="100"/>
        <v>0.19424</v>
      </c>
      <c r="S264" s="115">
        <f t="shared" si="100"/>
        <v>0.19586999999999999</v>
      </c>
      <c r="T264" s="115">
        <f t="shared" si="100"/>
        <v>0.19752</v>
      </c>
      <c r="U264" s="115">
        <f t="shared" si="100"/>
        <v>0.19918</v>
      </c>
      <c r="V264" s="115">
        <f t="shared" si="100"/>
        <v>0.20085</v>
      </c>
      <c r="W264" s="115">
        <f t="shared" si="100"/>
        <v>0.20226</v>
      </c>
      <c r="X264" s="115">
        <f t="shared" si="100"/>
        <v>0.20368</v>
      </c>
      <c r="Y264" s="115">
        <f t="shared" si="100"/>
        <v>0.20510999999999999</v>
      </c>
      <c r="Z264" s="115">
        <f t="shared" si="100"/>
        <v>0.20655000000000001</v>
      </c>
      <c r="AA264" s="115">
        <f t="shared" si="100"/>
        <v>0.20799999999999999</v>
      </c>
      <c r="AB264" s="115">
        <f t="shared" si="100"/>
        <v>0.20946000000000001</v>
      </c>
      <c r="AC264" s="115">
        <f t="shared" si="100"/>
        <v>0.21093000000000001</v>
      </c>
      <c r="AD264" s="115">
        <f t="shared" si="100"/>
        <v>0.21240999999999999</v>
      </c>
      <c r="AE264" s="115">
        <f t="shared" si="100"/>
        <v>0.21390000000000001</v>
      </c>
      <c r="AF264" s="115">
        <f t="shared" si="100"/>
        <v>0.21540000000000001</v>
      </c>
      <c r="AG264" s="115">
        <f t="shared" si="100"/>
        <v>0.21736</v>
      </c>
      <c r="AH264" s="115">
        <f t="shared" si="100"/>
        <v>0.21934000000000001</v>
      </c>
      <c r="AI264" s="115">
        <f t="shared" si="100"/>
        <v>0.22134000000000001</v>
      </c>
      <c r="AJ264" s="115">
        <f t="shared" si="100"/>
        <v>0.22334999999999999</v>
      </c>
      <c r="AK264" s="115">
        <f t="shared" si="100"/>
        <v>0.22538</v>
      </c>
      <c r="AL264" s="115">
        <f t="shared" si="100"/>
        <v>0.22742999999999999</v>
      </c>
      <c r="AM264" s="115">
        <f t="shared" si="100"/>
        <v>0.22950000000000001</v>
      </c>
      <c r="AN264" s="115">
        <f t="shared" si="100"/>
        <v>0.23158999999999999</v>
      </c>
      <c r="AO264" s="115">
        <f t="shared" si="100"/>
        <v>0.23369999999999999</v>
      </c>
      <c r="AP264" s="115">
        <f t="shared" si="100"/>
        <v>0.23583000000000001</v>
      </c>
      <c r="AQ264" s="117"/>
    </row>
    <row r="265" spans="2:43">
      <c r="B265" s="48" t="s">
        <v>205</v>
      </c>
      <c r="C265" s="115">
        <f>1.02*0.01</f>
        <v>1.0200000000000001E-2</v>
      </c>
      <c r="D265" s="115">
        <f>ROUND(C265*(1+(0.7*D42)),5)</f>
        <v>1.0319999999999999E-2</v>
      </c>
      <c r="E265" s="115">
        <f t="shared" ref="E265:AP265" si="101">ROUND(D265*(1+(0.7*E42)),5)</f>
        <v>1.0410000000000001E-2</v>
      </c>
      <c r="F265" s="115">
        <f t="shared" si="101"/>
        <v>1.0500000000000001E-2</v>
      </c>
      <c r="G265" s="115">
        <f t="shared" si="101"/>
        <v>1.073E-2</v>
      </c>
      <c r="H265" s="115">
        <f t="shared" si="101"/>
        <v>1.089E-2</v>
      </c>
      <c r="I265" s="115">
        <f t="shared" si="101"/>
        <v>1.1050000000000001E-2</v>
      </c>
      <c r="J265" s="115">
        <f t="shared" si="101"/>
        <v>1.1180000000000001E-2</v>
      </c>
      <c r="K265" s="115">
        <f t="shared" si="101"/>
        <v>1.1310000000000001E-2</v>
      </c>
      <c r="L265" s="115">
        <f t="shared" si="101"/>
        <v>1.1440000000000001E-2</v>
      </c>
      <c r="M265" s="115">
        <f t="shared" si="101"/>
        <v>1.154E-2</v>
      </c>
      <c r="N265" s="115">
        <f t="shared" si="101"/>
        <v>1.1639999999999999E-2</v>
      </c>
      <c r="O265" s="115">
        <f t="shared" si="101"/>
        <v>1.174E-2</v>
      </c>
      <c r="P265" s="115">
        <f t="shared" si="101"/>
        <v>1.184E-2</v>
      </c>
      <c r="Q265" s="115">
        <f t="shared" si="101"/>
        <v>1.1939999999999999E-2</v>
      </c>
      <c r="R265" s="115">
        <f t="shared" si="101"/>
        <v>1.204E-2</v>
      </c>
      <c r="S265" s="115">
        <f t="shared" si="101"/>
        <v>1.214E-2</v>
      </c>
      <c r="T265" s="115">
        <f t="shared" si="101"/>
        <v>1.2239999999999999E-2</v>
      </c>
      <c r="U265" s="115">
        <f t="shared" si="101"/>
        <v>1.234E-2</v>
      </c>
      <c r="V265" s="115">
        <f t="shared" si="101"/>
        <v>1.244E-2</v>
      </c>
      <c r="W265" s="115">
        <f t="shared" si="101"/>
        <v>1.2529999999999999E-2</v>
      </c>
      <c r="X265" s="115">
        <f t="shared" si="101"/>
        <v>1.2619999999999999E-2</v>
      </c>
      <c r="Y265" s="115">
        <f t="shared" si="101"/>
        <v>1.2710000000000001E-2</v>
      </c>
      <c r="Z265" s="115">
        <f t="shared" si="101"/>
        <v>1.2800000000000001E-2</v>
      </c>
      <c r="AA265" s="115">
        <f t="shared" si="101"/>
        <v>1.289E-2</v>
      </c>
      <c r="AB265" s="115">
        <f t="shared" si="101"/>
        <v>1.298E-2</v>
      </c>
      <c r="AC265" s="115">
        <f t="shared" si="101"/>
        <v>1.307E-2</v>
      </c>
      <c r="AD265" s="115">
        <f t="shared" si="101"/>
        <v>1.316E-2</v>
      </c>
      <c r="AE265" s="115">
        <f t="shared" si="101"/>
        <v>1.325E-2</v>
      </c>
      <c r="AF265" s="115">
        <f t="shared" si="101"/>
        <v>1.3339999999999999E-2</v>
      </c>
      <c r="AG265" s="115">
        <f t="shared" si="101"/>
        <v>1.346E-2</v>
      </c>
      <c r="AH265" s="115">
        <f t="shared" si="101"/>
        <v>1.358E-2</v>
      </c>
      <c r="AI265" s="115">
        <f t="shared" si="101"/>
        <v>1.37E-2</v>
      </c>
      <c r="AJ265" s="115">
        <f t="shared" si="101"/>
        <v>1.3820000000000001E-2</v>
      </c>
      <c r="AK265" s="115">
        <f t="shared" si="101"/>
        <v>1.3950000000000001E-2</v>
      </c>
      <c r="AL265" s="115">
        <f t="shared" si="101"/>
        <v>1.4080000000000001E-2</v>
      </c>
      <c r="AM265" s="115">
        <f t="shared" si="101"/>
        <v>1.421E-2</v>
      </c>
      <c r="AN265" s="115">
        <f t="shared" si="101"/>
        <v>1.434E-2</v>
      </c>
      <c r="AO265" s="115">
        <f t="shared" si="101"/>
        <v>1.447E-2</v>
      </c>
      <c r="AP265" s="115">
        <f t="shared" si="101"/>
        <v>1.46E-2</v>
      </c>
      <c r="AQ265" s="117"/>
    </row>
    <row r="266" spans="2:43">
      <c r="B266" s="48" t="s">
        <v>210</v>
      </c>
      <c r="C266" s="115">
        <f>0.13*0.01</f>
        <v>1.3000000000000002E-3</v>
      </c>
      <c r="D266" s="115">
        <f>ROUND(C266*(1+(0.7*D42)),5)</f>
        <v>1.32E-3</v>
      </c>
      <c r="E266" s="115">
        <f t="shared" ref="E266:AP266" si="102">ROUND(D266*(1+(0.7*E42)),5)</f>
        <v>1.33E-3</v>
      </c>
      <c r="F266" s="115">
        <f t="shared" si="102"/>
        <v>1.34E-3</v>
      </c>
      <c r="G266" s="115">
        <f t="shared" si="102"/>
        <v>1.3699999999999999E-3</v>
      </c>
      <c r="H266" s="115">
        <f t="shared" si="102"/>
        <v>1.39E-3</v>
      </c>
      <c r="I266" s="115">
        <f t="shared" si="102"/>
        <v>1.41E-3</v>
      </c>
      <c r="J266" s="115">
        <f t="shared" si="102"/>
        <v>1.4300000000000001E-3</v>
      </c>
      <c r="K266" s="115">
        <f t="shared" si="102"/>
        <v>1.4499999999999999E-3</v>
      </c>
      <c r="L266" s="115">
        <f t="shared" si="102"/>
        <v>1.47E-3</v>
      </c>
      <c r="M266" s="115">
        <f t="shared" si="102"/>
        <v>1.48E-3</v>
      </c>
      <c r="N266" s="115">
        <f t="shared" si="102"/>
        <v>1.49E-3</v>
      </c>
      <c r="O266" s="115">
        <f t="shared" si="102"/>
        <v>1.5E-3</v>
      </c>
      <c r="P266" s="115">
        <f t="shared" si="102"/>
        <v>1.5100000000000001E-3</v>
      </c>
      <c r="Q266" s="115">
        <f t="shared" si="102"/>
        <v>1.5200000000000001E-3</v>
      </c>
      <c r="R266" s="115">
        <f t="shared" si="102"/>
        <v>1.5299999999999999E-3</v>
      </c>
      <c r="S266" s="115">
        <f t="shared" si="102"/>
        <v>1.5399999999999999E-3</v>
      </c>
      <c r="T266" s="115">
        <f t="shared" si="102"/>
        <v>1.5499999999999999E-3</v>
      </c>
      <c r="U266" s="115">
        <f t="shared" si="102"/>
        <v>1.56E-3</v>
      </c>
      <c r="V266" s="115">
        <f t="shared" si="102"/>
        <v>1.57E-3</v>
      </c>
      <c r="W266" s="115">
        <f t="shared" si="102"/>
        <v>1.58E-3</v>
      </c>
      <c r="X266" s="115">
        <f t="shared" si="102"/>
        <v>1.5900000000000001E-3</v>
      </c>
      <c r="Y266" s="115">
        <f t="shared" si="102"/>
        <v>1.6000000000000001E-3</v>
      </c>
      <c r="Z266" s="115">
        <f t="shared" si="102"/>
        <v>1.6100000000000001E-3</v>
      </c>
      <c r="AA266" s="115">
        <f t="shared" si="102"/>
        <v>1.6199999999999999E-3</v>
      </c>
      <c r="AB266" s="115">
        <f t="shared" si="102"/>
        <v>1.6299999999999999E-3</v>
      </c>
      <c r="AC266" s="115">
        <f t="shared" si="102"/>
        <v>1.64E-3</v>
      </c>
      <c r="AD266" s="115">
        <f t="shared" si="102"/>
        <v>1.65E-3</v>
      </c>
      <c r="AE266" s="115">
        <f t="shared" si="102"/>
        <v>1.66E-3</v>
      </c>
      <c r="AF266" s="115">
        <f t="shared" si="102"/>
        <v>1.67E-3</v>
      </c>
      <c r="AG266" s="115">
        <f t="shared" si="102"/>
        <v>1.6900000000000001E-3</v>
      </c>
      <c r="AH266" s="115">
        <f t="shared" si="102"/>
        <v>1.7099999999999999E-3</v>
      </c>
      <c r="AI266" s="115">
        <f t="shared" si="102"/>
        <v>1.73E-3</v>
      </c>
      <c r="AJ266" s="115">
        <f t="shared" si="102"/>
        <v>1.75E-3</v>
      </c>
      <c r="AK266" s="115">
        <f t="shared" si="102"/>
        <v>1.7700000000000001E-3</v>
      </c>
      <c r="AL266" s="115">
        <f t="shared" si="102"/>
        <v>1.7899999999999999E-3</v>
      </c>
      <c r="AM266" s="115">
        <f t="shared" si="102"/>
        <v>1.81E-3</v>
      </c>
      <c r="AN266" s="115">
        <f t="shared" si="102"/>
        <v>1.83E-3</v>
      </c>
      <c r="AO266" s="115">
        <f t="shared" si="102"/>
        <v>1.8500000000000001E-3</v>
      </c>
      <c r="AP266" s="115">
        <f t="shared" si="102"/>
        <v>1.8699999999999999E-3</v>
      </c>
      <c r="AQ266" s="117"/>
    </row>
    <row r="267" spans="2:43">
      <c r="B267" s="48" t="s">
        <v>201</v>
      </c>
      <c r="C267" s="115">
        <f>12.61*0.01</f>
        <v>0.12609999999999999</v>
      </c>
      <c r="D267" s="115">
        <f>ROUND(C267*(1+(0.7*D42)),5)</f>
        <v>0.12756999999999999</v>
      </c>
      <c r="E267" s="115">
        <f t="shared" ref="E267:AP267" si="103">ROUND(D267*(1+(0.7*E42)),5)</f>
        <v>0.12867999999999999</v>
      </c>
      <c r="F267" s="115">
        <f t="shared" si="103"/>
        <v>0.12981000000000001</v>
      </c>
      <c r="G267" s="115">
        <f t="shared" si="103"/>
        <v>0.13267000000000001</v>
      </c>
      <c r="H267" s="115">
        <f t="shared" si="103"/>
        <v>0.13464999999999999</v>
      </c>
      <c r="I267" s="115">
        <f t="shared" si="103"/>
        <v>0.13661000000000001</v>
      </c>
      <c r="J267" s="115">
        <f t="shared" si="103"/>
        <v>0.13824</v>
      </c>
      <c r="K267" s="115">
        <f t="shared" si="103"/>
        <v>0.13988999999999999</v>
      </c>
      <c r="L267" s="115">
        <f t="shared" si="103"/>
        <v>0.14155000000000001</v>
      </c>
      <c r="M267" s="115">
        <f t="shared" si="103"/>
        <v>0.14274000000000001</v>
      </c>
      <c r="N267" s="115">
        <f t="shared" si="103"/>
        <v>0.14394000000000001</v>
      </c>
      <c r="O267" s="115">
        <f t="shared" si="103"/>
        <v>0.14515</v>
      </c>
      <c r="P267" s="115">
        <f t="shared" si="103"/>
        <v>0.14637</v>
      </c>
      <c r="Q267" s="115">
        <f t="shared" si="103"/>
        <v>0.14760000000000001</v>
      </c>
      <c r="R267" s="115">
        <f t="shared" si="103"/>
        <v>0.14884</v>
      </c>
      <c r="S267" s="115">
        <f t="shared" si="103"/>
        <v>0.15009</v>
      </c>
      <c r="T267" s="115">
        <f t="shared" si="103"/>
        <v>0.15135000000000001</v>
      </c>
      <c r="U267" s="115">
        <f t="shared" si="103"/>
        <v>0.15262000000000001</v>
      </c>
      <c r="V267" s="115">
        <f t="shared" si="103"/>
        <v>0.15390000000000001</v>
      </c>
      <c r="W267" s="115">
        <f t="shared" si="103"/>
        <v>0.15498000000000001</v>
      </c>
      <c r="X267" s="115">
        <f t="shared" si="103"/>
        <v>0.15606</v>
      </c>
      <c r="Y267" s="115">
        <f t="shared" si="103"/>
        <v>0.15715000000000001</v>
      </c>
      <c r="Z267" s="115">
        <f t="shared" si="103"/>
        <v>0.15825</v>
      </c>
      <c r="AA267" s="115">
        <f t="shared" si="103"/>
        <v>0.15936</v>
      </c>
      <c r="AB267" s="115">
        <f t="shared" si="103"/>
        <v>0.16048000000000001</v>
      </c>
      <c r="AC267" s="115">
        <f t="shared" si="103"/>
        <v>0.16159999999999999</v>
      </c>
      <c r="AD267" s="115">
        <f t="shared" si="103"/>
        <v>0.16273000000000001</v>
      </c>
      <c r="AE267" s="115">
        <f t="shared" si="103"/>
        <v>0.16386999999999999</v>
      </c>
      <c r="AF267" s="115">
        <f t="shared" si="103"/>
        <v>0.16502</v>
      </c>
      <c r="AG267" s="115">
        <f t="shared" si="103"/>
        <v>0.16652</v>
      </c>
      <c r="AH267" s="115">
        <f t="shared" si="103"/>
        <v>0.16803999999999999</v>
      </c>
      <c r="AI267" s="115">
        <f t="shared" si="103"/>
        <v>0.16957</v>
      </c>
      <c r="AJ267" s="115">
        <f t="shared" si="103"/>
        <v>0.17111000000000001</v>
      </c>
      <c r="AK267" s="115">
        <f t="shared" si="103"/>
        <v>0.17266999999999999</v>
      </c>
      <c r="AL267" s="115">
        <f t="shared" si="103"/>
        <v>0.17424000000000001</v>
      </c>
      <c r="AM267" s="115">
        <f t="shared" si="103"/>
        <v>0.17582999999999999</v>
      </c>
      <c r="AN267" s="115">
        <f t="shared" si="103"/>
        <v>0.17743</v>
      </c>
      <c r="AO267" s="115">
        <f t="shared" si="103"/>
        <v>0.17904</v>
      </c>
      <c r="AP267" s="115">
        <f t="shared" si="103"/>
        <v>0.18067</v>
      </c>
      <c r="AQ267" s="117"/>
    </row>
    <row r="268" spans="2:43">
      <c r="B268" s="48" t="s">
        <v>206</v>
      </c>
      <c r="C268" s="115">
        <f>0.78*0.01</f>
        <v>7.8000000000000005E-3</v>
      </c>
      <c r="D268" s="115">
        <f>ROUND(C268*(1+(0.7*D42)),5)</f>
        <v>7.8899999999999994E-3</v>
      </c>
      <c r="E268" s="115">
        <f t="shared" ref="E268:AP268" si="104">ROUND(D268*(1+(0.7*E42)),5)</f>
        <v>7.9600000000000001E-3</v>
      </c>
      <c r="F268" s="115">
        <f t="shared" si="104"/>
        <v>8.0300000000000007E-3</v>
      </c>
      <c r="G268" s="115">
        <f t="shared" si="104"/>
        <v>8.2100000000000003E-3</v>
      </c>
      <c r="H268" s="115">
        <f t="shared" si="104"/>
        <v>8.3300000000000006E-3</v>
      </c>
      <c r="I268" s="115">
        <f t="shared" si="104"/>
        <v>8.4499999999999992E-3</v>
      </c>
      <c r="J268" s="115">
        <f t="shared" si="104"/>
        <v>8.5500000000000003E-3</v>
      </c>
      <c r="K268" s="115">
        <f t="shared" si="104"/>
        <v>8.6499999999999997E-3</v>
      </c>
      <c r="L268" s="115">
        <f t="shared" si="104"/>
        <v>8.7500000000000008E-3</v>
      </c>
      <c r="M268" s="115">
        <f t="shared" si="104"/>
        <v>8.8199999999999997E-3</v>
      </c>
      <c r="N268" s="115">
        <f t="shared" si="104"/>
        <v>8.8900000000000003E-3</v>
      </c>
      <c r="O268" s="115">
        <f t="shared" si="104"/>
        <v>8.9599999999999992E-3</v>
      </c>
      <c r="P268" s="115">
        <f t="shared" si="104"/>
        <v>9.0399999999999994E-3</v>
      </c>
      <c r="Q268" s="115">
        <f t="shared" si="104"/>
        <v>9.1199999999999996E-3</v>
      </c>
      <c r="R268" s="115">
        <f t="shared" si="104"/>
        <v>9.1999999999999998E-3</v>
      </c>
      <c r="S268" s="115">
        <f t="shared" si="104"/>
        <v>9.2800000000000001E-3</v>
      </c>
      <c r="T268" s="115">
        <f t="shared" si="104"/>
        <v>9.3600000000000003E-3</v>
      </c>
      <c r="U268" s="115">
        <f t="shared" si="104"/>
        <v>9.4400000000000005E-3</v>
      </c>
      <c r="V268" s="115">
        <f t="shared" si="104"/>
        <v>9.5200000000000007E-3</v>
      </c>
      <c r="W268" s="115">
        <f t="shared" si="104"/>
        <v>9.5899999999999996E-3</v>
      </c>
      <c r="X268" s="115">
        <f t="shared" si="104"/>
        <v>9.6600000000000002E-3</v>
      </c>
      <c r="Y268" s="115">
        <f t="shared" si="104"/>
        <v>9.7300000000000008E-3</v>
      </c>
      <c r="Z268" s="115">
        <f t="shared" si="104"/>
        <v>9.7999999999999997E-3</v>
      </c>
      <c r="AA268" s="115">
        <f t="shared" si="104"/>
        <v>9.8700000000000003E-3</v>
      </c>
      <c r="AB268" s="115">
        <f t="shared" si="104"/>
        <v>9.9399999999999992E-3</v>
      </c>
      <c r="AC268" s="115">
        <f t="shared" si="104"/>
        <v>1.001E-2</v>
      </c>
      <c r="AD268" s="115">
        <f t="shared" si="104"/>
        <v>1.008E-2</v>
      </c>
      <c r="AE268" s="115">
        <f t="shared" si="104"/>
        <v>1.0149999999999999E-2</v>
      </c>
      <c r="AF268" s="115">
        <f t="shared" si="104"/>
        <v>1.022E-2</v>
      </c>
      <c r="AG268" s="115">
        <f t="shared" si="104"/>
        <v>1.031E-2</v>
      </c>
      <c r="AH268" s="115">
        <f t="shared" si="104"/>
        <v>1.04E-2</v>
      </c>
      <c r="AI268" s="115">
        <f t="shared" si="104"/>
        <v>1.0489999999999999E-2</v>
      </c>
      <c r="AJ268" s="115">
        <f t="shared" si="104"/>
        <v>1.059E-2</v>
      </c>
      <c r="AK268" s="115">
        <f t="shared" si="104"/>
        <v>1.069E-2</v>
      </c>
      <c r="AL268" s="115">
        <f t="shared" si="104"/>
        <v>1.0789999999999999E-2</v>
      </c>
      <c r="AM268" s="115">
        <f t="shared" si="104"/>
        <v>1.089E-2</v>
      </c>
      <c r="AN268" s="115">
        <f t="shared" si="104"/>
        <v>1.099E-2</v>
      </c>
      <c r="AO268" s="115">
        <f t="shared" si="104"/>
        <v>1.1089999999999999E-2</v>
      </c>
      <c r="AP268" s="115">
        <f t="shared" si="104"/>
        <v>1.119E-2</v>
      </c>
      <c r="AQ268" s="117"/>
    </row>
    <row r="269" spans="2:43">
      <c r="B269" s="48" t="s">
        <v>211</v>
      </c>
      <c r="C269" s="115">
        <f>0.1*0.01</f>
        <v>1E-3</v>
      </c>
      <c r="D269" s="115">
        <f>ROUND(C269*(1+(0.7*D42)),5)</f>
        <v>1.01E-3</v>
      </c>
      <c r="E269" s="115">
        <f t="shared" ref="E269:AP269" si="105">ROUND(D269*(1+(0.7*E42)),5)</f>
        <v>1.0200000000000001E-3</v>
      </c>
      <c r="F269" s="115">
        <f t="shared" si="105"/>
        <v>1.0300000000000001E-3</v>
      </c>
      <c r="G269" s="115">
        <f t="shared" si="105"/>
        <v>1.0499999999999999E-3</v>
      </c>
      <c r="H269" s="115">
        <f t="shared" si="105"/>
        <v>1.07E-3</v>
      </c>
      <c r="I269" s="115">
        <f t="shared" si="105"/>
        <v>1.09E-3</v>
      </c>
      <c r="J269" s="115">
        <f t="shared" si="105"/>
        <v>1.1000000000000001E-3</v>
      </c>
      <c r="K269" s="115">
        <f t="shared" si="105"/>
        <v>1.1100000000000001E-3</v>
      </c>
      <c r="L269" s="115">
        <f t="shared" si="105"/>
        <v>1.1199999999999999E-3</v>
      </c>
      <c r="M269" s="115">
        <f t="shared" si="105"/>
        <v>1.1299999999999999E-3</v>
      </c>
      <c r="N269" s="115">
        <f t="shared" si="105"/>
        <v>1.14E-3</v>
      </c>
      <c r="O269" s="115">
        <f t="shared" si="105"/>
        <v>1.15E-3</v>
      </c>
      <c r="P269" s="115">
        <f t="shared" si="105"/>
        <v>1.16E-3</v>
      </c>
      <c r="Q269" s="115">
        <f t="shared" si="105"/>
        <v>1.17E-3</v>
      </c>
      <c r="R269" s="115">
        <f t="shared" si="105"/>
        <v>1.1800000000000001E-3</v>
      </c>
      <c r="S269" s="115">
        <f t="shared" si="105"/>
        <v>1.1900000000000001E-3</v>
      </c>
      <c r="T269" s="115">
        <f t="shared" si="105"/>
        <v>1.1999999999999999E-3</v>
      </c>
      <c r="U269" s="115">
        <f t="shared" si="105"/>
        <v>1.2099999999999999E-3</v>
      </c>
      <c r="V269" s="115">
        <f t="shared" si="105"/>
        <v>1.2199999999999999E-3</v>
      </c>
      <c r="W269" s="115">
        <f t="shared" si="105"/>
        <v>1.23E-3</v>
      </c>
      <c r="X269" s="115">
        <f t="shared" si="105"/>
        <v>1.24E-3</v>
      </c>
      <c r="Y269" s="115">
        <f t="shared" si="105"/>
        <v>1.25E-3</v>
      </c>
      <c r="Z269" s="115">
        <f t="shared" si="105"/>
        <v>1.2600000000000001E-3</v>
      </c>
      <c r="AA269" s="115">
        <f t="shared" si="105"/>
        <v>1.2700000000000001E-3</v>
      </c>
      <c r="AB269" s="115">
        <f t="shared" si="105"/>
        <v>1.2800000000000001E-3</v>
      </c>
      <c r="AC269" s="115">
        <f t="shared" si="105"/>
        <v>1.2899999999999999E-3</v>
      </c>
      <c r="AD269" s="115">
        <f t="shared" si="105"/>
        <v>1.2999999999999999E-3</v>
      </c>
      <c r="AE269" s="115">
        <f t="shared" si="105"/>
        <v>1.31E-3</v>
      </c>
      <c r="AF269" s="115">
        <f t="shared" si="105"/>
        <v>1.32E-3</v>
      </c>
      <c r="AG269" s="115">
        <f t="shared" si="105"/>
        <v>1.33E-3</v>
      </c>
      <c r="AH269" s="115">
        <f t="shared" si="105"/>
        <v>1.34E-3</v>
      </c>
      <c r="AI269" s="115">
        <f t="shared" si="105"/>
        <v>1.3500000000000001E-3</v>
      </c>
      <c r="AJ269" s="115">
        <f t="shared" si="105"/>
        <v>1.3600000000000001E-3</v>
      </c>
      <c r="AK269" s="115">
        <f t="shared" si="105"/>
        <v>1.3699999999999999E-3</v>
      </c>
      <c r="AL269" s="115">
        <f t="shared" si="105"/>
        <v>1.3799999999999999E-3</v>
      </c>
      <c r="AM269" s="115">
        <f t="shared" si="105"/>
        <v>1.39E-3</v>
      </c>
      <c r="AN269" s="115">
        <f t="shared" si="105"/>
        <v>1.4E-3</v>
      </c>
      <c r="AO269" s="115">
        <f t="shared" si="105"/>
        <v>1.41E-3</v>
      </c>
      <c r="AP269" s="115">
        <f t="shared" si="105"/>
        <v>1.42E-3</v>
      </c>
      <c r="AQ269" s="117"/>
    </row>
    <row r="270" spans="2:43">
      <c r="B270" s="1" t="s">
        <v>212</v>
      </c>
    </row>
  </sheetData>
  <sheetProtection algorithmName="SHA-512" hashValue="LpmWOkPAUfRwFyOqhAP7Pz86Iwqi8xgn7Gs8TWmDBqU84/kOYAztPq3BQKrZokMNsxfCJ6vXSsTxW4kka612DQ==" saltValue="ddTv/MP128FdYv3ER4TGog==" spinCount="100000" sheet="1" objects="1" scenarios="1"/>
  <mergeCells count="21">
    <mergeCell ref="B244:E244"/>
    <mergeCell ref="B151:C151"/>
    <mergeCell ref="B124:D124"/>
    <mergeCell ref="C87:C89"/>
    <mergeCell ref="D87:I87"/>
    <mergeCell ref="B87:B88"/>
    <mergeCell ref="B234:G234"/>
    <mergeCell ref="C192:H192"/>
    <mergeCell ref="B207:D207"/>
    <mergeCell ref="B217:E217"/>
    <mergeCell ref="B165:C165"/>
    <mergeCell ref="B8:C8"/>
    <mergeCell ref="B64:C64"/>
    <mergeCell ref="B41:B42"/>
    <mergeCell ref="B129:E129"/>
    <mergeCell ref="B117:E117"/>
    <mergeCell ref="B94:G94"/>
    <mergeCell ref="B45:B47"/>
    <mergeCell ref="C45:C47"/>
    <mergeCell ref="D45:I45"/>
    <mergeCell ref="B24:C25"/>
  </mergeCells>
  <phoneticPr fontId="7" type="noConversion"/>
  <pageMargins left="0.19685039370078741" right="0.19685039370078741" top="0.98425196850393704" bottom="0.78740157480314965" header="0.51181102362204722" footer="0.51181102362204722"/>
  <pageSetup paperSize="9" scale="75" orientation="landscape" r:id="rId1"/>
  <headerFooter alignWithMargins="0">
    <oddHeader>&amp;LPríloha 7: Štandardné tabuľky - Cesty
&amp;"Arial,Tučné"&amp;12Parametre</oddHeader>
    <oddFooter>&amp;CStrana &amp;P z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E2C0B-B1DE-474C-AB93-BA7479E3A098}">
  <sheetPr>
    <tabColor rgb="FF7030A0"/>
  </sheetPr>
  <dimension ref="A1"/>
  <sheetViews>
    <sheetView workbookViewId="0">
      <selection activeCell="F41" sqref="F41"/>
    </sheetView>
  </sheetViews>
  <sheetFormatPr defaultColWidth="11.42578125" defaultRowHeig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2:P44"/>
  <sheetViews>
    <sheetView zoomScale="80" zoomScaleNormal="80" workbookViewId="0">
      <selection activeCell="E25" sqref="E25:E26"/>
    </sheetView>
  </sheetViews>
  <sheetFormatPr defaultColWidth="9.140625" defaultRowHeight="11.25"/>
  <cols>
    <col min="1" max="1" width="2.7109375" style="2" customWidth="1"/>
    <col min="2" max="2" width="42.28515625" style="2" customWidth="1"/>
    <col min="3" max="3" width="17.140625" style="2" customWidth="1"/>
    <col min="4" max="7" width="12.28515625" style="2" customWidth="1"/>
    <col min="8" max="9" width="13.7109375" style="2" customWidth="1"/>
    <col min="10" max="11" width="12.28515625" style="2" customWidth="1"/>
    <col min="12" max="16" width="10.42578125" style="2" bestFit="1" customWidth="1"/>
    <col min="17" max="16384" width="9.140625" style="2"/>
  </cols>
  <sheetData>
    <row r="2" spans="2:11">
      <c r="B2" s="3" t="s">
        <v>339</v>
      </c>
      <c r="C2" s="3"/>
      <c r="D2" s="3" t="s">
        <v>10</v>
      </c>
      <c r="E2" s="3"/>
      <c r="F2" s="3"/>
      <c r="G2" s="3"/>
      <c r="H2" s="3"/>
      <c r="I2" s="3"/>
      <c r="J2" s="3"/>
      <c r="K2" s="3"/>
    </row>
    <row r="3" spans="2:11">
      <c r="B3" s="4"/>
      <c r="C3" s="4"/>
      <c r="D3" s="5">
        <v>1</v>
      </c>
      <c r="E3" s="5">
        <v>2</v>
      </c>
      <c r="F3" s="5">
        <v>3</v>
      </c>
      <c r="G3" s="5">
        <v>4</v>
      </c>
      <c r="H3" s="5">
        <v>5</v>
      </c>
      <c r="I3" s="5">
        <v>6</v>
      </c>
      <c r="J3" s="5"/>
      <c r="K3" s="5">
        <f>Parametre!C12</f>
        <v>30</v>
      </c>
    </row>
    <row r="4" spans="2:11">
      <c r="B4" s="6" t="s">
        <v>218</v>
      </c>
      <c r="C4" s="6" t="s">
        <v>9</v>
      </c>
      <c r="D4" s="7">
        <f>Parametre!C13</f>
        <v>2023</v>
      </c>
      <c r="E4" s="7">
        <f>$D$4+D3</f>
        <v>2024</v>
      </c>
      <c r="F4" s="7">
        <f>$D$4+E3</f>
        <v>2025</v>
      </c>
      <c r="G4" s="7">
        <f>$D$4+F3</f>
        <v>2026</v>
      </c>
      <c r="H4" s="7">
        <v>2027</v>
      </c>
      <c r="I4" s="7">
        <v>2028</v>
      </c>
      <c r="J4" s="7" t="s">
        <v>47</v>
      </c>
      <c r="K4" s="7">
        <f>Parametre!C16</f>
        <v>2052</v>
      </c>
    </row>
    <row r="5" spans="2:11">
      <c r="B5" s="3" t="s">
        <v>341</v>
      </c>
      <c r="C5" s="180">
        <f t="shared" ref="C5:C14" si="0">SUM(D5:K5)</f>
        <v>399750000</v>
      </c>
      <c r="D5" s="180">
        <f>SUM(D6:D7)</f>
        <v>0</v>
      </c>
      <c r="E5" s="180">
        <f t="shared" ref="E5:K5" si="1">SUM(E6:E7)</f>
        <v>0</v>
      </c>
      <c r="F5" s="180">
        <f t="shared" si="1"/>
        <v>10380000</v>
      </c>
      <c r="G5" s="180">
        <f t="shared" si="1"/>
        <v>41520000</v>
      </c>
      <c r="H5" s="180">
        <f t="shared" si="1"/>
        <v>186900000</v>
      </c>
      <c r="I5" s="180">
        <f t="shared" si="1"/>
        <v>160950000</v>
      </c>
      <c r="J5" s="180">
        <f t="shared" si="1"/>
        <v>0</v>
      </c>
      <c r="K5" s="180">
        <f t="shared" si="1"/>
        <v>0</v>
      </c>
    </row>
    <row r="6" spans="2:11">
      <c r="B6" s="122" t="s">
        <v>720</v>
      </c>
      <c r="C6" s="185">
        <f t="shared" si="0"/>
        <v>129750000</v>
      </c>
      <c r="D6" s="181">
        <v>0</v>
      </c>
      <c r="E6" s="181">
        <v>0</v>
      </c>
      <c r="F6" s="181">
        <v>10380000</v>
      </c>
      <c r="G6" s="181">
        <v>41520000</v>
      </c>
      <c r="H6" s="181">
        <v>51900000</v>
      </c>
      <c r="I6" s="181">
        <v>25950000</v>
      </c>
      <c r="J6" s="181">
        <v>0</v>
      </c>
      <c r="K6" s="181">
        <v>0</v>
      </c>
    </row>
    <row r="7" spans="2:11">
      <c r="B7" s="122" t="s">
        <v>364</v>
      </c>
      <c r="C7" s="185">
        <f t="shared" si="0"/>
        <v>270000000</v>
      </c>
      <c r="D7" s="181">
        <v>0</v>
      </c>
      <c r="E7" s="181">
        <v>0</v>
      </c>
      <c r="F7" s="181">
        <v>0</v>
      </c>
      <c r="G7" s="181">
        <v>0</v>
      </c>
      <c r="H7" s="181">
        <v>135000000</v>
      </c>
      <c r="I7" s="181">
        <v>135000000</v>
      </c>
      <c r="J7" s="181">
        <v>0</v>
      </c>
      <c r="K7" s="181">
        <v>0</v>
      </c>
    </row>
    <row r="8" spans="2:11">
      <c r="B8" s="13" t="s">
        <v>340</v>
      </c>
      <c r="C8" s="180">
        <f t="shared" si="0"/>
        <v>0</v>
      </c>
      <c r="D8" s="181">
        <v>0</v>
      </c>
      <c r="E8" s="181">
        <v>0</v>
      </c>
      <c r="F8" s="181">
        <v>0</v>
      </c>
      <c r="G8" s="181">
        <v>0</v>
      </c>
      <c r="H8" s="181">
        <v>0</v>
      </c>
      <c r="I8" s="181">
        <v>0</v>
      </c>
      <c r="J8" s="181">
        <v>0</v>
      </c>
      <c r="K8" s="181">
        <v>0</v>
      </c>
    </row>
    <row r="9" spans="2:11">
      <c r="B9" s="3" t="s">
        <v>49</v>
      </c>
      <c r="C9" s="180">
        <f t="shared" si="0"/>
        <v>0</v>
      </c>
      <c r="D9" s="182">
        <v>0</v>
      </c>
      <c r="E9" s="182">
        <v>0</v>
      </c>
      <c r="F9" s="182">
        <v>0</v>
      </c>
      <c r="G9" s="182">
        <v>0</v>
      </c>
      <c r="H9" s="182">
        <v>0</v>
      </c>
      <c r="I9" s="182">
        <v>0</v>
      </c>
      <c r="J9" s="182">
        <v>0</v>
      </c>
      <c r="K9" s="182">
        <v>0</v>
      </c>
    </row>
    <row r="10" spans="2:11" s="10" customFormat="1">
      <c r="B10" s="9" t="s">
        <v>239</v>
      </c>
      <c r="C10" s="183">
        <f t="shared" si="0"/>
        <v>399750000</v>
      </c>
      <c r="D10" s="183">
        <f>SUM(D5:D5,D8:D9)</f>
        <v>0</v>
      </c>
      <c r="E10" s="183">
        <f>SUM(E5:E5,E8:E9)</f>
        <v>0</v>
      </c>
      <c r="F10" s="183">
        <f>SUM(F5:F5,F8:F9)</f>
        <v>10380000</v>
      </c>
      <c r="G10" s="183">
        <f>SUM(G5:G5,G8:G9)</f>
        <v>41520000</v>
      </c>
      <c r="H10" s="183">
        <f>SUM(H5:H5,H8:H9)</f>
        <v>186900000</v>
      </c>
      <c r="I10" s="183">
        <f t="shared" ref="I10:K10" si="2">SUM(I5:I5,I8:I9)</f>
        <v>160950000</v>
      </c>
      <c r="J10" s="183">
        <f t="shared" si="2"/>
        <v>0</v>
      </c>
      <c r="K10" s="183">
        <f t="shared" si="2"/>
        <v>0</v>
      </c>
    </row>
    <row r="11" spans="2:11">
      <c r="B11" s="3" t="s">
        <v>43</v>
      </c>
      <c r="C11" s="180">
        <f t="shared" si="0"/>
        <v>0</v>
      </c>
      <c r="D11" s="182">
        <v>0</v>
      </c>
      <c r="E11" s="182">
        <v>0</v>
      </c>
      <c r="F11" s="182">
        <v>0</v>
      </c>
      <c r="G11" s="182">
        <v>0</v>
      </c>
      <c r="H11" s="182">
        <v>0</v>
      </c>
      <c r="I11" s="182">
        <v>0</v>
      </c>
      <c r="J11" s="182">
        <v>0</v>
      </c>
      <c r="K11" s="182">
        <v>0</v>
      </c>
    </row>
    <row r="12" spans="2:11" ht="11.25" customHeight="1">
      <c r="B12" s="9" t="s">
        <v>342</v>
      </c>
      <c r="C12" s="184">
        <f t="shared" si="0"/>
        <v>399750000</v>
      </c>
      <c r="D12" s="184">
        <f t="shared" ref="D12:K12" si="3">SUM(D10:D11)</f>
        <v>0</v>
      </c>
      <c r="E12" s="184">
        <f t="shared" si="3"/>
        <v>0</v>
      </c>
      <c r="F12" s="184">
        <f t="shared" si="3"/>
        <v>10380000</v>
      </c>
      <c r="G12" s="184">
        <f t="shared" si="3"/>
        <v>41520000</v>
      </c>
      <c r="H12" s="184">
        <f t="shared" si="3"/>
        <v>186900000</v>
      </c>
      <c r="I12" s="184">
        <f t="shared" si="3"/>
        <v>160950000</v>
      </c>
      <c r="J12" s="184">
        <f t="shared" si="3"/>
        <v>0</v>
      </c>
      <c r="K12" s="184">
        <f t="shared" si="3"/>
        <v>0</v>
      </c>
    </row>
    <row r="13" spans="2:11">
      <c r="B13" s="3" t="s">
        <v>50</v>
      </c>
      <c r="C13" s="180">
        <f t="shared" si="0"/>
        <v>79950000</v>
      </c>
      <c r="D13" s="182">
        <f>D12*0.2</f>
        <v>0</v>
      </c>
      <c r="E13" s="182">
        <f t="shared" ref="E13:K13" si="4">E12*0.2</f>
        <v>0</v>
      </c>
      <c r="F13" s="182">
        <f t="shared" si="4"/>
        <v>2076000</v>
      </c>
      <c r="G13" s="182">
        <f t="shared" si="4"/>
        <v>8304000</v>
      </c>
      <c r="H13" s="182">
        <f t="shared" si="4"/>
        <v>37380000</v>
      </c>
      <c r="I13" s="182">
        <f t="shared" si="4"/>
        <v>32190000</v>
      </c>
      <c r="J13" s="182">
        <f t="shared" si="4"/>
        <v>0</v>
      </c>
      <c r="K13" s="182">
        <f t="shared" si="4"/>
        <v>0</v>
      </c>
    </row>
    <row r="14" spans="2:11">
      <c r="B14" s="4" t="s">
        <v>219</v>
      </c>
      <c r="C14" s="184">
        <f t="shared" si="0"/>
        <v>479700000</v>
      </c>
      <c r="D14" s="184">
        <f t="shared" ref="D14:K14" si="5">SUM(D12:D13)</f>
        <v>0</v>
      </c>
      <c r="E14" s="184">
        <f t="shared" si="5"/>
        <v>0</v>
      </c>
      <c r="F14" s="184">
        <f t="shared" si="5"/>
        <v>12456000</v>
      </c>
      <c r="G14" s="184">
        <f t="shared" si="5"/>
        <v>49824000</v>
      </c>
      <c r="H14" s="184">
        <f t="shared" si="5"/>
        <v>224280000</v>
      </c>
      <c r="I14" s="184">
        <f t="shared" si="5"/>
        <v>193140000</v>
      </c>
      <c r="J14" s="184">
        <f t="shared" si="5"/>
        <v>0</v>
      </c>
      <c r="K14" s="184">
        <f t="shared" si="5"/>
        <v>0</v>
      </c>
    </row>
    <row r="15" spans="2:11">
      <c r="C15" s="186"/>
      <c r="D15" s="11"/>
      <c r="E15" s="11"/>
      <c r="F15" s="11"/>
      <c r="G15" s="11"/>
      <c r="H15" s="11"/>
      <c r="I15" s="11"/>
      <c r="J15" s="11"/>
      <c r="K15" s="11"/>
    </row>
    <row r="16" spans="2:11">
      <c r="B16" s="123" t="s">
        <v>220</v>
      </c>
      <c r="C16" s="187">
        <f>SUM(D16:K16)</f>
        <v>399750000</v>
      </c>
      <c r="D16" s="188">
        <f>D12</f>
        <v>0</v>
      </c>
      <c r="E16" s="188">
        <f t="shared" ref="E16:K16" si="6">E12</f>
        <v>0</v>
      </c>
      <c r="F16" s="188">
        <f t="shared" si="6"/>
        <v>10380000</v>
      </c>
      <c r="G16" s="188">
        <f t="shared" si="6"/>
        <v>41520000</v>
      </c>
      <c r="H16" s="188">
        <f t="shared" si="6"/>
        <v>186900000</v>
      </c>
      <c r="I16" s="188">
        <f t="shared" si="6"/>
        <v>160950000</v>
      </c>
      <c r="J16" s="188">
        <f t="shared" si="6"/>
        <v>0</v>
      </c>
      <c r="K16" s="188">
        <f t="shared" si="6"/>
        <v>0</v>
      </c>
    </row>
    <row r="17" spans="2:13">
      <c r="B17" s="123" t="s">
        <v>343</v>
      </c>
      <c r="C17" s="187">
        <f>SUM(D17:K17)</f>
        <v>399750000</v>
      </c>
      <c r="D17" s="187">
        <f>D16-D11</f>
        <v>0</v>
      </c>
      <c r="E17" s="187">
        <f t="shared" ref="E17:K17" si="7">E16-E11</f>
        <v>0</v>
      </c>
      <c r="F17" s="187">
        <f t="shared" si="7"/>
        <v>10380000</v>
      </c>
      <c r="G17" s="187">
        <f t="shared" si="7"/>
        <v>41520000</v>
      </c>
      <c r="H17" s="187">
        <f t="shared" si="7"/>
        <v>186900000</v>
      </c>
      <c r="I17" s="187">
        <f t="shared" si="7"/>
        <v>160950000</v>
      </c>
      <c r="J17" s="187">
        <f t="shared" si="7"/>
        <v>0</v>
      </c>
      <c r="K17" s="187">
        <f t="shared" si="7"/>
        <v>0</v>
      </c>
    </row>
    <row r="18" spans="2:13">
      <c r="B18" s="123" t="s">
        <v>221</v>
      </c>
      <c r="C18" s="187">
        <f>SUM(D18:K18)</f>
        <v>79950000</v>
      </c>
      <c r="D18" s="187">
        <f>D14-D16</f>
        <v>0</v>
      </c>
      <c r="E18" s="187">
        <f t="shared" ref="E18:K18" si="8">E14-E16</f>
        <v>0</v>
      </c>
      <c r="F18" s="187">
        <f t="shared" si="8"/>
        <v>2076000</v>
      </c>
      <c r="G18" s="187">
        <f t="shared" si="8"/>
        <v>8304000</v>
      </c>
      <c r="H18" s="187">
        <f t="shared" si="8"/>
        <v>37380000</v>
      </c>
      <c r="I18" s="187">
        <f t="shared" si="8"/>
        <v>32190000</v>
      </c>
      <c r="J18" s="187">
        <f t="shared" si="8"/>
        <v>0</v>
      </c>
      <c r="K18" s="187">
        <f t="shared" si="8"/>
        <v>0</v>
      </c>
    </row>
    <row r="19" spans="2:13">
      <c r="B19" s="1" t="s">
        <v>51</v>
      </c>
    </row>
    <row r="21" spans="2:13">
      <c r="B21" s="3"/>
      <c r="C21" s="3"/>
      <c r="D21" s="3" t="s">
        <v>10</v>
      </c>
      <c r="E21" s="3"/>
      <c r="F21" s="3"/>
      <c r="G21" s="3"/>
      <c r="H21" s="3"/>
      <c r="I21" s="3"/>
      <c r="J21" s="3"/>
      <c r="K21" s="3"/>
      <c r="M21" s="2" t="s">
        <v>216</v>
      </c>
    </row>
    <row r="22" spans="2:13">
      <c r="B22" s="4"/>
      <c r="C22" s="4"/>
      <c r="D22" s="5">
        <v>1</v>
      </c>
      <c r="E22" s="5">
        <v>2</v>
      </c>
      <c r="F22" s="5">
        <v>3</v>
      </c>
      <c r="G22" s="5">
        <v>4</v>
      </c>
      <c r="H22" s="5">
        <v>5</v>
      </c>
      <c r="I22" s="5"/>
      <c r="J22" s="5"/>
      <c r="K22" s="5">
        <v>30</v>
      </c>
      <c r="M22" s="2" t="s">
        <v>217</v>
      </c>
    </row>
    <row r="23" spans="2:13">
      <c r="B23" s="6" t="s">
        <v>36</v>
      </c>
      <c r="C23" s="6" t="s">
        <v>9</v>
      </c>
      <c r="D23" s="7">
        <f>D4</f>
        <v>2023</v>
      </c>
      <c r="E23" s="7">
        <f>E4</f>
        <v>2024</v>
      </c>
      <c r="F23" s="7">
        <f>F4</f>
        <v>2025</v>
      </c>
      <c r="G23" s="7">
        <f>G4</f>
        <v>2026</v>
      </c>
      <c r="H23" s="7">
        <v>2027</v>
      </c>
      <c r="I23" s="7">
        <v>2028</v>
      </c>
      <c r="J23" s="7" t="s">
        <v>48</v>
      </c>
      <c r="K23" s="7">
        <f>K4</f>
        <v>2052</v>
      </c>
    </row>
    <row r="24" spans="2:13">
      <c r="B24" s="3" t="s">
        <v>341</v>
      </c>
      <c r="C24" s="180">
        <f t="shared" ref="C24:C29" si="9">SUM(D24:K24)</f>
        <v>359775000</v>
      </c>
      <c r="D24" s="180">
        <f>SUM(D25:D26)</f>
        <v>0</v>
      </c>
      <c r="E24" s="180">
        <f>SUM(E25:E26)</f>
        <v>0</v>
      </c>
      <c r="F24" s="180">
        <f>SUM(F25:F26)</f>
        <v>9342000</v>
      </c>
      <c r="G24" s="180">
        <f t="shared" ref="G24:K24" si="10">SUM(G25:G26)</f>
        <v>37368000</v>
      </c>
      <c r="H24" s="180">
        <f t="shared" si="10"/>
        <v>168210000</v>
      </c>
      <c r="I24" s="180">
        <f t="shared" si="10"/>
        <v>144855000</v>
      </c>
      <c r="J24" s="180">
        <f t="shared" si="10"/>
        <v>0</v>
      </c>
      <c r="K24" s="180">
        <f t="shared" si="10"/>
        <v>0</v>
      </c>
    </row>
    <row r="25" spans="2:13">
      <c r="B25" s="122" t="s">
        <v>720</v>
      </c>
      <c r="C25" s="185">
        <f t="shared" si="9"/>
        <v>116775000</v>
      </c>
      <c r="D25" s="185">
        <f>D6*Parametre!$C$71</f>
        <v>0</v>
      </c>
      <c r="E25" s="185">
        <f>E6*Parametre!$C$71</f>
        <v>0</v>
      </c>
      <c r="F25" s="185">
        <f>F6*Parametre!$C$71</f>
        <v>9342000</v>
      </c>
      <c r="G25" s="185">
        <f>G6*Parametre!$C$71</f>
        <v>37368000</v>
      </c>
      <c r="H25" s="185">
        <f>H6*Parametre!$C$71</f>
        <v>46710000</v>
      </c>
      <c r="I25" s="185">
        <f>I6*Parametre!$C$71</f>
        <v>23355000</v>
      </c>
      <c r="J25" s="185">
        <f>J6*Parametre!$C$71</f>
        <v>0</v>
      </c>
      <c r="K25" s="185">
        <f>K6*Parametre!$C$71</f>
        <v>0</v>
      </c>
    </row>
    <row r="26" spans="2:13">
      <c r="B26" s="122" t="s">
        <v>364</v>
      </c>
      <c r="C26" s="185">
        <f t="shared" si="9"/>
        <v>243000000</v>
      </c>
      <c r="D26" s="185">
        <f>D7*Parametre!$C$71</f>
        <v>0</v>
      </c>
      <c r="E26" s="185">
        <f>E7*Parametre!$C$71</f>
        <v>0</v>
      </c>
      <c r="F26" s="185">
        <f>F7*Parametre!$C$71</f>
        <v>0</v>
      </c>
      <c r="G26" s="185">
        <f>G7*Parametre!$C$71</f>
        <v>0</v>
      </c>
      <c r="H26" s="185">
        <f>H7*Parametre!$C$71</f>
        <v>121500000</v>
      </c>
      <c r="I26" s="185">
        <f>I7*Parametre!$C$71</f>
        <v>121500000</v>
      </c>
      <c r="J26" s="185">
        <f>J7*Parametre!$C$71</f>
        <v>0</v>
      </c>
      <c r="K26" s="185">
        <f>K7*Parametre!$C$71</f>
        <v>0</v>
      </c>
    </row>
    <row r="27" spans="2:13">
      <c r="B27" s="13" t="s">
        <v>340</v>
      </c>
      <c r="C27" s="180">
        <f t="shared" si="9"/>
        <v>0</v>
      </c>
      <c r="D27" s="180">
        <f>D8*Parametre!$C$71</f>
        <v>0</v>
      </c>
      <c r="E27" s="180">
        <f>E8*Parametre!$C$71</f>
        <v>0</v>
      </c>
      <c r="F27" s="180">
        <f>F8*Parametre!$C$71</f>
        <v>0</v>
      </c>
      <c r="G27" s="180">
        <f>G8*Parametre!$C$71</f>
        <v>0</v>
      </c>
      <c r="H27" s="180">
        <f>H8*Parametre!$C$71</f>
        <v>0</v>
      </c>
      <c r="I27" s="180">
        <f>I8*Parametre!$C$71</f>
        <v>0</v>
      </c>
      <c r="J27" s="180">
        <f>J8*Parametre!$C$71</f>
        <v>0</v>
      </c>
      <c r="K27" s="180">
        <f>K8*Parametre!$C$71</f>
        <v>0</v>
      </c>
    </row>
    <row r="28" spans="2:13">
      <c r="B28" s="3" t="s">
        <v>49</v>
      </c>
      <c r="C28" s="180">
        <f t="shared" si="9"/>
        <v>0</v>
      </c>
      <c r="D28" s="180">
        <f>D9*Parametre!$C$71</f>
        <v>0</v>
      </c>
      <c r="E28" s="180">
        <f>E9*Parametre!$C$71</f>
        <v>0</v>
      </c>
      <c r="F28" s="180">
        <f>F9*Parametre!$C$71</f>
        <v>0</v>
      </c>
      <c r="G28" s="180">
        <f>G9*Parametre!$C$71</f>
        <v>0</v>
      </c>
      <c r="H28" s="180">
        <f>H9*Parametre!$C$71</f>
        <v>0</v>
      </c>
      <c r="I28" s="180">
        <f>I9*Parametre!$C$71</f>
        <v>0</v>
      </c>
      <c r="J28" s="180">
        <f>J9*Parametre!$C$71</f>
        <v>0</v>
      </c>
      <c r="K28" s="180">
        <f>K9*Parametre!$C$71</f>
        <v>0</v>
      </c>
    </row>
    <row r="29" spans="2:13">
      <c r="B29" s="4" t="s">
        <v>44</v>
      </c>
      <c r="C29" s="184">
        <f t="shared" si="9"/>
        <v>359775000</v>
      </c>
      <c r="D29" s="184">
        <f>SUM(D24:D24,D27:D28)</f>
        <v>0</v>
      </c>
      <c r="E29" s="184">
        <f t="shared" ref="E29:K29" si="11">SUM(E24:E24,E27:E28)</f>
        <v>0</v>
      </c>
      <c r="F29" s="184">
        <f t="shared" si="11"/>
        <v>9342000</v>
      </c>
      <c r="G29" s="184">
        <f t="shared" si="11"/>
        <v>37368000</v>
      </c>
      <c r="H29" s="184">
        <f t="shared" si="11"/>
        <v>168210000</v>
      </c>
      <c r="I29" s="184">
        <f t="shared" si="11"/>
        <v>144855000</v>
      </c>
      <c r="J29" s="184">
        <f t="shared" si="11"/>
        <v>0</v>
      </c>
      <c r="K29" s="184">
        <f t="shared" si="11"/>
        <v>0</v>
      </c>
    </row>
    <row r="30" spans="2:13">
      <c r="B30" s="12"/>
      <c r="C30" s="36"/>
      <c r="D30" s="36"/>
      <c r="E30" s="36"/>
      <c r="F30" s="36"/>
      <c r="G30" s="36"/>
      <c r="H30" s="36"/>
      <c r="I30" s="36"/>
      <c r="J30" s="36"/>
      <c r="K30" s="36"/>
    </row>
    <row r="31" spans="2:13">
      <c r="B31" s="12" t="s">
        <v>338</v>
      </c>
      <c r="C31" s="36"/>
      <c r="D31" s="36"/>
      <c r="E31" s="36"/>
      <c r="F31" s="36"/>
      <c r="G31" s="36"/>
      <c r="H31" s="36"/>
      <c r="I31" s="36"/>
      <c r="J31" s="36"/>
      <c r="K31" s="36"/>
    </row>
    <row r="32" spans="2:13">
      <c r="B32" s="119" t="s">
        <v>341</v>
      </c>
    </row>
    <row r="33" spans="2:16">
      <c r="B33" s="120" t="s">
        <v>345</v>
      </c>
    </row>
    <row r="34" spans="2:16">
      <c r="B34" s="119" t="s">
        <v>340</v>
      </c>
    </row>
    <row r="35" spans="2:16">
      <c r="B35" s="120" t="s">
        <v>344</v>
      </c>
    </row>
    <row r="36" spans="2:16">
      <c r="B36" s="121" t="s">
        <v>213</v>
      </c>
    </row>
    <row r="37" spans="2:16">
      <c r="B37" s="1" t="s">
        <v>346</v>
      </c>
    </row>
    <row r="38" spans="2:16">
      <c r="B38" s="119" t="s">
        <v>214</v>
      </c>
    </row>
    <row r="39" spans="2:16">
      <c r="B39" s="120" t="s">
        <v>215</v>
      </c>
    </row>
    <row r="41" spans="2:16" ht="12" thickBot="1"/>
    <row r="42" spans="2:16">
      <c r="B42" s="888" t="s">
        <v>365</v>
      </c>
      <c r="C42" s="890" t="s">
        <v>366</v>
      </c>
      <c r="D42" s="210">
        <v>1</v>
      </c>
      <c r="E42" s="211">
        <v>2</v>
      </c>
      <c r="F42" s="211">
        <v>3</v>
      </c>
      <c r="G42" s="211">
        <v>4</v>
      </c>
      <c r="H42" s="211">
        <v>5</v>
      </c>
      <c r="I42" s="211">
        <v>6</v>
      </c>
      <c r="J42" s="211">
        <v>7</v>
      </c>
      <c r="K42" s="211">
        <v>8</v>
      </c>
      <c r="L42" s="211">
        <v>9</v>
      </c>
      <c r="M42" s="211">
        <v>10</v>
      </c>
      <c r="N42" s="211">
        <v>11</v>
      </c>
      <c r="O42" s="211">
        <v>12</v>
      </c>
      <c r="P42" s="212">
        <v>13</v>
      </c>
    </row>
    <row r="43" spans="2:16" ht="12" thickBot="1">
      <c r="B43" s="889"/>
      <c r="C43" s="891"/>
      <c r="D43" s="215">
        <v>2023</v>
      </c>
      <c r="E43" s="213">
        <f>D43+1</f>
        <v>2024</v>
      </c>
      <c r="F43" s="213">
        <f t="shared" ref="F43:P43" si="12">E43+1</f>
        <v>2025</v>
      </c>
      <c r="G43" s="213">
        <f t="shared" si="12"/>
        <v>2026</v>
      </c>
      <c r="H43" s="213">
        <f t="shared" si="12"/>
        <v>2027</v>
      </c>
      <c r="I43" s="213">
        <f t="shared" si="12"/>
        <v>2028</v>
      </c>
      <c r="J43" s="213">
        <f t="shared" si="12"/>
        <v>2029</v>
      </c>
      <c r="K43" s="213">
        <f t="shared" si="12"/>
        <v>2030</v>
      </c>
      <c r="L43" s="213">
        <f t="shared" si="12"/>
        <v>2031</v>
      </c>
      <c r="M43" s="213">
        <f t="shared" si="12"/>
        <v>2032</v>
      </c>
      <c r="N43" s="213">
        <f t="shared" si="12"/>
        <v>2033</v>
      </c>
      <c r="O43" s="213">
        <f t="shared" si="12"/>
        <v>2034</v>
      </c>
      <c r="P43" s="214">
        <f t="shared" si="12"/>
        <v>2035</v>
      </c>
    </row>
    <row r="44" spans="2:16" ht="13.5" thickBot="1">
      <c r="B44" s="427" t="s">
        <v>721</v>
      </c>
      <c r="C44" s="216">
        <f>SUM(D44:Z44)</f>
        <v>453876375.5250001</v>
      </c>
      <c r="D44" s="633">
        <v>0</v>
      </c>
      <c r="E44" s="634">
        <v>0</v>
      </c>
      <c r="F44" s="634">
        <v>30621</v>
      </c>
      <c r="G44" s="634">
        <v>1961962.7250000001</v>
      </c>
      <c r="H44" s="634">
        <v>9731903.896428572</v>
      </c>
      <c r="I44" s="634">
        <v>42534783.753571436</v>
      </c>
      <c r="J44" s="634">
        <v>69354861.646428585</v>
      </c>
      <c r="K44" s="634">
        <v>67267744.717857152</v>
      </c>
      <c r="L44" s="634">
        <v>65180627.789285719</v>
      </c>
      <c r="M44" s="634">
        <v>63093510.860714294</v>
      </c>
      <c r="N44" s="634">
        <v>59543622.70714286</v>
      </c>
      <c r="O44" s="634">
        <v>51661366.607142858</v>
      </c>
      <c r="P44" s="635">
        <v>23515369.821428601</v>
      </c>
    </row>
  </sheetData>
  <sheetProtection algorithmName="SHA-512" hashValue="f1wAZHTpn/k+jAZ+IVzEnsNC8vOdNg3jvMZqnOcu9O+kfbtL9WyIUVSUAZqBZzDZvNplMCb5Nrn/i4R7wvunUA==" saltValue="q24+UFYPOEUssr4e+OHPSA==" spinCount="100000" sheet="1" objects="1" scenarios="1"/>
  <mergeCells count="2">
    <mergeCell ref="B42:B43"/>
    <mergeCell ref="C42:C43"/>
  </mergeCells>
  <phoneticPr fontId="7" type="noConversion"/>
  <pageMargins left="0.19685039370078741" right="0.19685039370078741" top="0.98425196850393704" bottom="0.78740157480314965" header="0.51181102362204722" footer="0.51181102362204722"/>
  <pageSetup scale="75" orientation="landscape" r:id="rId1"/>
  <headerFooter alignWithMargins="0">
    <oddHeader>&amp;LPríloha 7: Štandardné tabuľky - Cesty 
&amp;"Arial,Tučné"&amp;12 01 Investičné náklady</oddHeader>
    <oddFooter>&amp;CStrana &amp;P z &amp;N</oddFooter>
  </headerFooter>
  <ignoredErrors>
    <ignoredError sqref="D24:F24" formula="1"/>
    <ignoredError sqref="D5:K5 D10:K11" formulaRange="1"/>
  </ignoredErrors>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178-EB94-4819-BAB2-17A4D3224339}">
  <sheetPr>
    <tabColor rgb="FFFFC000"/>
  </sheetPr>
  <dimension ref="B1:R37"/>
  <sheetViews>
    <sheetView topLeftCell="A3" zoomScaleNormal="100" workbookViewId="0">
      <selection activeCell="B5" sqref="B5:B7"/>
    </sheetView>
  </sheetViews>
  <sheetFormatPr defaultColWidth="9.140625" defaultRowHeight="11.25"/>
  <cols>
    <col min="1" max="1" width="2.7109375" style="2" customWidth="1"/>
    <col min="2" max="2" width="73.140625" style="2" customWidth="1"/>
    <col min="3" max="3" width="18" style="2" customWidth="1"/>
    <col min="4" max="9" width="13.7109375" style="2" customWidth="1"/>
    <col min="10" max="18" width="12" style="2" customWidth="1"/>
    <col min="19" max="36" width="5" style="2" bestFit="1" customWidth="1"/>
    <col min="37" max="16384" width="9.140625" style="2"/>
  </cols>
  <sheetData>
    <row r="1" spans="2:12" ht="12" thickBot="1"/>
    <row r="2" spans="2:12">
      <c r="B2" s="12" t="s">
        <v>80</v>
      </c>
      <c r="H2" s="56" t="s">
        <v>81</v>
      </c>
      <c r="I2" s="57" t="s">
        <v>82</v>
      </c>
    </row>
    <row r="3" spans="2:12" ht="56.25">
      <c r="B3" s="50" t="s">
        <v>30</v>
      </c>
      <c r="C3" s="51" t="s">
        <v>348</v>
      </c>
      <c r="D3" s="51" t="s">
        <v>64</v>
      </c>
      <c r="E3" s="51" t="s">
        <v>28</v>
      </c>
      <c r="F3" s="51" t="s">
        <v>27</v>
      </c>
      <c r="G3" s="52" t="s">
        <v>29</v>
      </c>
      <c r="H3" s="54" t="s">
        <v>15</v>
      </c>
      <c r="I3" s="55" t="s">
        <v>15</v>
      </c>
      <c r="L3" s="2" t="s">
        <v>216</v>
      </c>
    </row>
    <row r="4" spans="2:12">
      <c r="B4" s="13" t="s">
        <v>720</v>
      </c>
      <c r="C4" s="15">
        <v>40</v>
      </c>
      <c r="D4" s="126">
        <f>Parametre!$C$12-('01 Investičné výdavky - nákup'!$F$4-Parametre!$C$13+1)</f>
        <v>27</v>
      </c>
      <c r="E4" s="14">
        <v>0</v>
      </c>
      <c r="F4" s="15">
        <f>C4+(E4*C4)</f>
        <v>40</v>
      </c>
      <c r="G4" s="53">
        <f>(F4-D4)/C4</f>
        <v>0.32500000000000001</v>
      </c>
      <c r="H4" s="189">
        <f>'01 Investičné výdavky - nákup'!F6*G4</f>
        <v>3373500</v>
      </c>
      <c r="I4" s="190">
        <f>H4*Parametre!$C$71</f>
        <v>3036150</v>
      </c>
      <c r="L4" s="2" t="s">
        <v>217</v>
      </c>
    </row>
    <row r="5" spans="2:12">
      <c r="B5" s="13" t="s">
        <v>720</v>
      </c>
      <c r="C5" s="15">
        <v>40</v>
      </c>
      <c r="D5" s="126">
        <f>Parametre!$C$12-('01 Investičné výdavky - nákup'!$G$4-Parametre!$C$13+1)</f>
        <v>26</v>
      </c>
      <c r="E5" s="14">
        <v>0</v>
      </c>
      <c r="F5" s="15">
        <f t="shared" ref="F5:F10" si="0">C5+(E5*C5)</f>
        <v>40</v>
      </c>
      <c r="G5" s="53">
        <f t="shared" ref="G5:G10" si="1">(F5-D5)/C5</f>
        <v>0.35</v>
      </c>
      <c r="H5" s="189">
        <f>'01 Investičné výdavky - nákup'!G6*G5</f>
        <v>14532000</v>
      </c>
      <c r="I5" s="190">
        <f>H5*Parametre!$C$71</f>
        <v>13078800</v>
      </c>
    </row>
    <row r="6" spans="2:12">
      <c r="B6" s="13" t="s">
        <v>720</v>
      </c>
      <c r="C6" s="15">
        <v>40</v>
      </c>
      <c r="D6" s="126">
        <f>Parametre!$C$12-('01 Investičné výdavky - nákup'!$H$4-Parametre!$C$13+1)</f>
        <v>25</v>
      </c>
      <c r="E6" s="14">
        <v>0</v>
      </c>
      <c r="F6" s="15">
        <f t="shared" si="0"/>
        <v>40</v>
      </c>
      <c r="G6" s="53">
        <f t="shared" si="1"/>
        <v>0.375</v>
      </c>
      <c r="H6" s="189">
        <f>'01 Investičné výdavky - nákup'!H6*G6</f>
        <v>19462500</v>
      </c>
      <c r="I6" s="190">
        <f>H6*Parametre!$C$71</f>
        <v>17516250</v>
      </c>
    </row>
    <row r="7" spans="2:12">
      <c r="B7" s="13" t="s">
        <v>720</v>
      </c>
      <c r="C7" s="15">
        <v>40</v>
      </c>
      <c r="D7" s="126">
        <f>Parametre!$C$12-('01 Investičné výdavky - nákup'!$I$4-Parametre!$C$13+1)</f>
        <v>24</v>
      </c>
      <c r="E7" s="14">
        <v>0</v>
      </c>
      <c r="F7" s="15">
        <f t="shared" si="0"/>
        <v>40</v>
      </c>
      <c r="G7" s="53">
        <f t="shared" si="1"/>
        <v>0.4</v>
      </c>
      <c r="H7" s="189">
        <f>'01 Investičné výdavky - nákup'!I6*G7</f>
        <v>10380000</v>
      </c>
      <c r="I7" s="190">
        <f>H7*Parametre!$C$71</f>
        <v>9342000</v>
      </c>
    </row>
    <row r="8" spans="2:12">
      <c r="B8" s="13" t="s">
        <v>364</v>
      </c>
      <c r="C8" s="15">
        <v>40</v>
      </c>
      <c r="D8" s="126">
        <f>Parametre!$C$12-('01 Investičné výdavky - nákup'!$H$4-Parametre!$C$13+1)</f>
        <v>25</v>
      </c>
      <c r="E8" s="14">
        <v>0</v>
      </c>
      <c r="F8" s="15">
        <f t="shared" si="0"/>
        <v>40</v>
      </c>
      <c r="G8" s="53">
        <f t="shared" si="1"/>
        <v>0.375</v>
      </c>
      <c r="H8" s="189">
        <f>'01 Investičné výdavky - nákup'!H7*G8</f>
        <v>50625000</v>
      </c>
      <c r="I8" s="190">
        <f>H8*Parametre!$C$71</f>
        <v>45562500</v>
      </c>
    </row>
    <row r="9" spans="2:12">
      <c r="B9" s="13" t="s">
        <v>364</v>
      </c>
      <c r="C9" s="15">
        <v>40</v>
      </c>
      <c r="D9" s="126">
        <f>Parametre!$C$12-('01 Investičné výdavky - nákup'!$I$4-Parametre!$C$13+1)</f>
        <v>24</v>
      </c>
      <c r="E9" s="14">
        <v>0</v>
      </c>
      <c r="F9" s="15">
        <f t="shared" si="0"/>
        <v>40</v>
      </c>
      <c r="G9" s="53">
        <f t="shared" si="1"/>
        <v>0.4</v>
      </c>
      <c r="H9" s="189">
        <f>'01 Investičné výdavky - nákup'!I7*G9</f>
        <v>54000000</v>
      </c>
      <c r="I9" s="190">
        <f>H9*Parametre!$C$71</f>
        <v>48600000</v>
      </c>
    </row>
    <row r="10" spans="2:12" ht="12" thickBot="1">
      <c r="B10" s="13" t="s">
        <v>322</v>
      </c>
      <c r="C10" s="15">
        <v>30</v>
      </c>
      <c r="D10" s="126">
        <f>Parametre!$C$12-(Parametre!$C$14-Parametre!$C$13+1)</f>
        <v>24</v>
      </c>
      <c r="E10" s="14">
        <v>0</v>
      </c>
      <c r="F10" s="15">
        <f t="shared" si="0"/>
        <v>30</v>
      </c>
      <c r="G10" s="53">
        <f t="shared" si="1"/>
        <v>0.2</v>
      </c>
      <c r="H10" s="189">
        <f>'01 Investičné výdavky - nákup'!C8*G10</f>
        <v>0</v>
      </c>
      <c r="I10" s="190">
        <f>H10*Parametre!$C$71</f>
        <v>0</v>
      </c>
    </row>
    <row r="11" spans="2:12" ht="12" thickBot="1">
      <c r="B11" s="4" t="s">
        <v>15</v>
      </c>
      <c r="C11" s="3"/>
      <c r="D11" s="3"/>
      <c r="E11" s="3"/>
      <c r="F11" s="3"/>
      <c r="G11" s="21"/>
      <c r="H11" s="191">
        <f>SUM(H4:H10)</f>
        <v>152373000</v>
      </c>
      <c r="I11" s="192">
        <f>SUM(I4:I10)</f>
        <v>137135700</v>
      </c>
    </row>
    <row r="12" spans="2:12">
      <c r="B12" s="16" t="s">
        <v>347</v>
      </c>
    </row>
    <row r="13" spans="2:12">
      <c r="B13" s="1" t="s">
        <v>349</v>
      </c>
    </row>
    <row r="15" spans="2:12">
      <c r="B15" s="12" t="s">
        <v>83</v>
      </c>
    </row>
    <row r="16" spans="2:12">
      <c r="B16" s="21" t="s">
        <v>31</v>
      </c>
      <c r="C16" s="169">
        <f>C26</f>
        <v>418096046.69646734</v>
      </c>
      <c r="D16" s="36"/>
    </row>
    <row r="17" spans="2:18">
      <c r="B17" s="21" t="s">
        <v>42</v>
      </c>
      <c r="C17" s="169">
        <f>C37</f>
        <v>190976652.23952478</v>
      </c>
      <c r="D17" s="11"/>
    </row>
    <row r="18" spans="2:18">
      <c r="B18" s="1" t="s">
        <v>84</v>
      </c>
    </row>
    <row r="20" spans="2:18">
      <c r="B20" s="319" t="s">
        <v>441</v>
      </c>
      <c r="C20" s="169">
        <f>('01 Investičné výdavky - nákup'!F6*F4+'01 Investičné výdavky - nákup'!G6*F5+'01 Investičné výdavky - nákup'!H6*F6+'01 Investičné výdavky - nákup'!I6*F7+'01 Investičné výdavky - nákup'!H7*F8+'01 Investičné výdavky - nákup'!I7*F9)/('01 Investičné výdavky - nákup'!C6+'01 Investičné výdavky - nákup'!C7)-AVERAGE(D4:D9)</f>
        <v>14.833333333333332</v>
      </c>
    </row>
    <row r="22" spans="2:18">
      <c r="D22" s="2">
        <v>1</v>
      </c>
      <c r="E22" s="2">
        <v>2</v>
      </c>
      <c r="F22" s="2">
        <v>3</v>
      </c>
      <c r="G22" s="2">
        <v>4</v>
      </c>
      <c r="H22" s="2">
        <v>5</v>
      </c>
      <c r="I22" s="2">
        <v>6</v>
      </c>
      <c r="J22" s="2">
        <v>7</v>
      </c>
      <c r="K22" s="2">
        <v>8</v>
      </c>
      <c r="L22" s="2">
        <v>9</v>
      </c>
      <c r="M22" s="2">
        <v>10</v>
      </c>
      <c r="N22" s="2">
        <v>11</v>
      </c>
      <c r="O22" s="2">
        <v>12</v>
      </c>
      <c r="P22" s="2">
        <v>13</v>
      </c>
      <c r="Q22" s="2">
        <v>14</v>
      </c>
      <c r="R22" s="2">
        <v>15</v>
      </c>
    </row>
    <row r="23" spans="2:18">
      <c r="B23" s="320" t="s">
        <v>442</v>
      </c>
      <c r="C23" s="321" t="s">
        <v>9</v>
      </c>
      <c r="D23" s="322">
        <v>2053</v>
      </c>
      <c r="E23" s="322">
        <f>D23+$D$22</f>
        <v>2054</v>
      </c>
      <c r="F23" s="322">
        <f t="shared" ref="F23:H23" si="2">E23+$D$22</f>
        <v>2055</v>
      </c>
      <c r="G23" s="322">
        <f t="shared" si="2"/>
        <v>2056</v>
      </c>
      <c r="H23" s="322">
        <f t="shared" si="2"/>
        <v>2057</v>
      </c>
      <c r="I23" s="322">
        <f t="shared" ref="I23" si="3">H23+$D$22</f>
        <v>2058</v>
      </c>
      <c r="J23" s="322">
        <f t="shared" ref="J23" si="4">I23+$D$22</f>
        <v>2059</v>
      </c>
      <c r="K23" s="322">
        <f t="shared" ref="K23" si="5">J23+$D$22</f>
        <v>2060</v>
      </c>
      <c r="L23" s="322">
        <f t="shared" ref="L23" si="6">K23+$D$22</f>
        <v>2061</v>
      </c>
      <c r="M23" s="322">
        <f t="shared" ref="M23" si="7">L23+$D$22</f>
        <v>2062</v>
      </c>
      <c r="N23" s="322">
        <f t="shared" ref="N23" si="8">M23+$D$22</f>
        <v>2063</v>
      </c>
      <c r="O23" s="322">
        <f t="shared" ref="O23" si="9">N23+$D$22</f>
        <v>2064</v>
      </c>
      <c r="P23" s="322">
        <f t="shared" ref="P23" si="10">O23+$D$22</f>
        <v>2065</v>
      </c>
      <c r="Q23" s="322">
        <f t="shared" ref="Q23" si="11">P23+$D$22</f>
        <v>2066</v>
      </c>
      <c r="R23" s="322">
        <f t="shared" ref="R23" si="12">Q23+$D$22</f>
        <v>2067</v>
      </c>
    </row>
    <row r="24" spans="2:18">
      <c r="B24" s="8" t="s">
        <v>443</v>
      </c>
      <c r="C24" s="323">
        <f>SUM(D24:R24)</f>
        <v>-271336914.99999994</v>
      </c>
      <c r="D24" s="324">
        <f>AVERAGE('06 Finančná analýza - nákup'!D6:AG6)</f>
        <v>-18089127.666666668</v>
      </c>
      <c r="E24" s="324">
        <f>D24</f>
        <v>-18089127.666666668</v>
      </c>
      <c r="F24" s="324">
        <f t="shared" ref="F24:H25" si="13">E24</f>
        <v>-18089127.666666668</v>
      </c>
      <c r="G24" s="324">
        <f t="shared" si="13"/>
        <v>-18089127.666666668</v>
      </c>
      <c r="H24" s="324">
        <f t="shared" si="13"/>
        <v>-18089127.666666668</v>
      </c>
      <c r="I24" s="324">
        <f t="shared" ref="I24:I25" si="14">H24</f>
        <v>-18089127.666666668</v>
      </c>
      <c r="J24" s="324">
        <f t="shared" ref="J24:J25" si="15">I24</f>
        <v>-18089127.666666668</v>
      </c>
      <c r="K24" s="324">
        <f t="shared" ref="K24:K25" si="16">J24</f>
        <v>-18089127.666666668</v>
      </c>
      <c r="L24" s="324">
        <f t="shared" ref="L24:L25" si="17">K24</f>
        <v>-18089127.666666668</v>
      </c>
      <c r="M24" s="324">
        <f t="shared" ref="M24:M25" si="18">L24</f>
        <v>-18089127.666666668</v>
      </c>
      <c r="N24" s="324">
        <f t="shared" ref="N24:N25" si="19">M24</f>
        <v>-18089127.666666668</v>
      </c>
      <c r="O24" s="324">
        <f t="shared" ref="O24:O25" si="20">N24</f>
        <v>-18089127.666666668</v>
      </c>
      <c r="P24" s="324">
        <f t="shared" ref="P24:P25" si="21">O24</f>
        <v>-18089127.666666668</v>
      </c>
      <c r="Q24" s="324">
        <f t="shared" ref="Q24:Q25" si="22">P24</f>
        <v>-18089127.666666668</v>
      </c>
      <c r="R24" s="324">
        <f t="shared" ref="R24:R25" si="23">Q24</f>
        <v>-18089127.666666668</v>
      </c>
    </row>
    <row r="25" spans="2:18">
      <c r="B25" s="8" t="s">
        <v>444</v>
      </c>
      <c r="C25" s="323">
        <f>SUM(D25:R25)</f>
        <v>292723362.50951117</v>
      </c>
      <c r="D25" s="324">
        <f>AVERAGE('06 Finančná analýza - nákup'!D7:AG7)</f>
        <v>19514890.833967414</v>
      </c>
      <c r="E25" s="324">
        <f>D25</f>
        <v>19514890.833967414</v>
      </c>
      <c r="F25" s="324">
        <f t="shared" si="13"/>
        <v>19514890.833967414</v>
      </c>
      <c r="G25" s="324">
        <f t="shared" si="13"/>
        <v>19514890.833967414</v>
      </c>
      <c r="H25" s="324">
        <f t="shared" si="13"/>
        <v>19514890.833967414</v>
      </c>
      <c r="I25" s="324">
        <f t="shared" si="14"/>
        <v>19514890.833967414</v>
      </c>
      <c r="J25" s="324">
        <f t="shared" si="15"/>
        <v>19514890.833967414</v>
      </c>
      <c r="K25" s="324">
        <f t="shared" si="16"/>
        <v>19514890.833967414</v>
      </c>
      <c r="L25" s="324">
        <f t="shared" si="17"/>
        <v>19514890.833967414</v>
      </c>
      <c r="M25" s="324">
        <f t="shared" si="18"/>
        <v>19514890.833967414</v>
      </c>
      <c r="N25" s="324">
        <f t="shared" si="19"/>
        <v>19514890.833967414</v>
      </c>
      <c r="O25" s="324">
        <f t="shared" si="20"/>
        <v>19514890.833967414</v>
      </c>
      <c r="P25" s="324">
        <f t="shared" si="21"/>
        <v>19514890.833967414</v>
      </c>
      <c r="Q25" s="324">
        <f t="shared" si="22"/>
        <v>19514890.833967414</v>
      </c>
      <c r="R25" s="324">
        <f t="shared" si="23"/>
        <v>19514890.833967414</v>
      </c>
    </row>
    <row r="26" spans="2:18" ht="15.75">
      <c r="B26" s="325" t="s">
        <v>445</v>
      </c>
      <c r="C26" s="326">
        <f>SUM(D26:R26)</f>
        <v>418096046.69646734</v>
      </c>
      <c r="D26" s="327">
        <f>(D25-D24)/((1+Parametre!$C$9)^(D22))</f>
        <v>36157710.096763536</v>
      </c>
      <c r="E26" s="327">
        <f>(E25-E24)/((1+Parametre!$C$9)^(E22))</f>
        <v>34767028.939195707</v>
      </c>
      <c r="F26" s="327">
        <f>(F25-F24)/((1+Parametre!$C$9)^(F22))</f>
        <v>33429835.518457413</v>
      </c>
      <c r="G26" s="327">
        <f>(G25-G24)/((1+Parametre!$C$9)^(G22))</f>
        <v>32144072.613901354</v>
      </c>
      <c r="H26" s="327">
        <f>(H25-H24)/((1+Parametre!$C$9)^(H22))</f>
        <v>30907762.1287513</v>
      </c>
      <c r="I26" s="327">
        <f>(I25-I24)/((1+Parametre!$C$9)^(I22))</f>
        <v>29719002.046876248</v>
      </c>
      <c r="J26" s="327">
        <f>(J25-J24)/((1+Parametre!$C$9)^(J22))</f>
        <v>28575963.506611779</v>
      </c>
      <c r="K26" s="327">
        <f>(K25-K24)/((1+Parametre!$C$9)^(K22))</f>
        <v>27476887.987126708</v>
      </c>
      <c r="L26" s="327">
        <f>(L25-L24)/((1+Parametre!$C$9)^(L22))</f>
        <v>26420084.603006449</v>
      </c>
      <c r="M26" s="327">
        <f>(M25-M24)/((1+Parametre!$C$9)^(M22))</f>
        <v>25403927.502890814</v>
      </c>
      <c r="N26" s="327">
        <f>(N25-N24)/((1+Parametre!$C$9)^(N22))</f>
        <v>24426853.368164249</v>
      </c>
      <c r="O26" s="327">
        <f>(O25-O24)/((1+Parametre!$C$9)^(O22))</f>
        <v>23487359.007850233</v>
      </c>
      <c r="P26" s="327">
        <f>(P25-P24)/((1+Parametre!$C$9)^(P22))</f>
        <v>22583999.046009839</v>
      </c>
      <c r="Q26" s="327">
        <f>(Q25-Q24)/((1+Parametre!$C$9)^(Q22))</f>
        <v>21715383.698086385</v>
      </c>
      <c r="R26" s="327">
        <f>(R25-R24)/((1+Parametre!$C$9)^(R22))</f>
        <v>20880176.63277537</v>
      </c>
    </row>
    <row r="29" spans="2:18">
      <c r="B29" s="319" t="s">
        <v>446</v>
      </c>
      <c r="C29" s="169">
        <f>('01 Investičné výdavky - nákup'!F25*F4+'01 Investičné výdavky - nákup'!G25*F5+'01 Investičné výdavky - nákup'!H25*F6+'01 Investičné výdavky - nákup'!I25*F7+'01 Investičné výdavky - nákup'!H26*F8+'01 Investičné výdavky - nákup'!I26*F9)/('01 Investičné výdavky - nákup'!C25+'01 Investičné výdavky - nákup'!C26)-AVERAGE(D4:D9)</f>
        <v>14.833333333333332</v>
      </c>
    </row>
    <row r="31" spans="2:18">
      <c r="D31" s="2">
        <v>1</v>
      </c>
      <c r="E31" s="2">
        <v>2</v>
      </c>
      <c r="F31" s="2">
        <v>3</v>
      </c>
      <c r="G31" s="2">
        <v>4</v>
      </c>
      <c r="H31" s="2">
        <v>5</v>
      </c>
      <c r="I31" s="2">
        <v>6</v>
      </c>
      <c r="J31" s="2">
        <v>7</v>
      </c>
      <c r="K31" s="2">
        <v>8</v>
      </c>
      <c r="L31" s="2">
        <v>9</v>
      </c>
      <c r="M31" s="2">
        <v>10</v>
      </c>
      <c r="N31" s="2">
        <v>11</v>
      </c>
      <c r="O31" s="2">
        <v>12</v>
      </c>
      <c r="P31" s="2">
        <v>13</v>
      </c>
      <c r="Q31" s="2">
        <v>14</v>
      </c>
      <c r="R31" s="2">
        <v>15</v>
      </c>
    </row>
    <row r="32" spans="2:18">
      <c r="B32" s="320" t="s">
        <v>447</v>
      </c>
      <c r="C32" s="321" t="s">
        <v>9</v>
      </c>
      <c r="D32" s="322">
        <f>D23</f>
        <v>2053</v>
      </c>
      <c r="E32" s="322">
        <f t="shared" ref="E32:H32" si="24">E23</f>
        <v>2054</v>
      </c>
      <c r="F32" s="322">
        <f t="shared" si="24"/>
        <v>2055</v>
      </c>
      <c r="G32" s="322">
        <f t="shared" si="24"/>
        <v>2056</v>
      </c>
      <c r="H32" s="322">
        <f t="shared" si="24"/>
        <v>2057</v>
      </c>
      <c r="I32" s="322">
        <f t="shared" ref="I32:R32" si="25">I23</f>
        <v>2058</v>
      </c>
      <c r="J32" s="322">
        <f t="shared" si="25"/>
        <v>2059</v>
      </c>
      <c r="K32" s="322">
        <f t="shared" si="25"/>
        <v>2060</v>
      </c>
      <c r="L32" s="322">
        <f t="shared" si="25"/>
        <v>2061</v>
      </c>
      <c r="M32" s="322">
        <f t="shared" si="25"/>
        <v>2062</v>
      </c>
      <c r="N32" s="322">
        <f t="shared" si="25"/>
        <v>2063</v>
      </c>
      <c r="O32" s="322">
        <f t="shared" si="25"/>
        <v>2064</v>
      </c>
      <c r="P32" s="322">
        <f t="shared" si="25"/>
        <v>2065</v>
      </c>
      <c r="Q32" s="322">
        <f t="shared" si="25"/>
        <v>2066</v>
      </c>
      <c r="R32" s="322">
        <f t="shared" si="25"/>
        <v>2067</v>
      </c>
    </row>
    <row r="33" spans="2:18">
      <c r="B33" s="8" t="str">
        <f>'09 Ekonomická analýza - nákup'!B5</f>
        <v>Investičné náklady</v>
      </c>
      <c r="C33" s="323">
        <f>SUM(D33:R33)</f>
        <v>0</v>
      </c>
      <c r="D33" s="324">
        <v>0</v>
      </c>
      <c r="E33" s="324">
        <f>D33</f>
        <v>0</v>
      </c>
      <c r="F33" s="324">
        <f t="shared" ref="F33:H36" si="26">E33</f>
        <v>0</v>
      </c>
      <c r="G33" s="324">
        <f t="shared" si="26"/>
        <v>0</v>
      </c>
      <c r="H33" s="324">
        <f t="shared" si="26"/>
        <v>0</v>
      </c>
      <c r="I33" s="324">
        <f t="shared" ref="I33:I36" si="27">H33</f>
        <v>0</v>
      </c>
      <c r="J33" s="324">
        <f t="shared" ref="J33:J36" si="28">I33</f>
        <v>0</v>
      </c>
      <c r="K33" s="324">
        <f t="shared" ref="K33:K36" si="29">J33</f>
        <v>0</v>
      </c>
      <c r="L33" s="324">
        <f t="shared" ref="L33:L36" si="30">K33</f>
        <v>0</v>
      </c>
      <c r="M33" s="324">
        <f t="shared" ref="M33:M36" si="31">L33</f>
        <v>0</v>
      </c>
      <c r="N33" s="324">
        <f t="shared" ref="N33:N36" si="32">M33</f>
        <v>0</v>
      </c>
      <c r="O33" s="324">
        <f t="shared" ref="O33:O36" si="33">N33</f>
        <v>0</v>
      </c>
      <c r="P33" s="324">
        <f t="shared" ref="P33:P36" si="34">O33</f>
        <v>0</v>
      </c>
      <c r="Q33" s="324">
        <f t="shared" ref="Q33:Q36" si="35">P33</f>
        <v>0</v>
      </c>
      <c r="R33" s="324">
        <f t="shared" ref="R33:R36" si="36">Q33</f>
        <v>0</v>
      </c>
    </row>
    <row r="34" spans="2:18">
      <c r="B34" s="8" t="str">
        <f>'09 Ekonomická analýza - nákup'!B6</f>
        <v>Prevádzkové náklady vozidiel</v>
      </c>
      <c r="C34" s="323">
        <f t="shared" ref="C34:C36" si="37">SUM(D34:R34)</f>
        <v>244203223.50000006</v>
      </c>
      <c r="D34" s="324">
        <f>AVERAGE('09 Ekonomická analýza - nákup'!D6:AG6)</f>
        <v>16280214.9</v>
      </c>
      <c r="E34" s="324">
        <f t="shared" ref="E34:G36" si="38">D34</f>
        <v>16280214.9</v>
      </c>
      <c r="F34" s="324">
        <f t="shared" si="38"/>
        <v>16280214.9</v>
      </c>
      <c r="G34" s="324">
        <f t="shared" si="38"/>
        <v>16280214.9</v>
      </c>
      <c r="H34" s="324">
        <f t="shared" si="26"/>
        <v>16280214.9</v>
      </c>
      <c r="I34" s="324">
        <f t="shared" si="27"/>
        <v>16280214.9</v>
      </c>
      <c r="J34" s="324">
        <f t="shared" si="28"/>
        <v>16280214.9</v>
      </c>
      <c r="K34" s="324">
        <f t="shared" si="29"/>
        <v>16280214.9</v>
      </c>
      <c r="L34" s="324">
        <f t="shared" si="30"/>
        <v>16280214.9</v>
      </c>
      <c r="M34" s="324">
        <f t="shared" si="31"/>
        <v>16280214.9</v>
      </c>
      <c r="N34" s="324">
        <f t="shared" si="32"/>
        <v>16280214.9</v>
      </c>
      <c r="O34" s="324">
        <f t="shared" si="33"/>
        <v>16280214.9</v>
      </c>
      <c r="P34" s="324">
        <f t="shared" si="34"/>
        <v>16280214.9</v>
      </c>
      <c r="Q34" s="324">
        <f t="shared" si="35"/>
        <v>16280214.9</v>
      </c>
      <c r="R34" s="324">
        <f t="shared" si="36"/>
        <v>16280214.9</v>
      </c>
    </row>
    <row r="35" spans="2:18">
      <c r="B35" s="8" t="str">
        <f>'09 Ekonomická analýza - nákup'!B7</f>
        <v>Čas cestujúcich</v>
      </c>
      <c r="C35" s="323">
        <f t="shared" si="37"/>
        <v>29727228.398440026</v>
      </c>
      <c r="D35" s="324">
        <f>AVERAGE('09 Ekonomická analýza - nákup'!D7:AG7)</f>
        <v>1981815.2265626688</v>
      </c>
      <c r="E35" s="324">
        <f t="shared" si="38"/>
        <v>1981815.2265626688</v>
      </c>
      <c r="F35" s="324">
        <f t="shared" si="38"/>
        <v>1981815.2265626688</v>
      </c>
      <c r="G35" s="324">
        <f t="shared" si="38"/>
        <v>1981815.2265626688</v>
      </c>
      <c r="H35" s="324">
        <f t="shared" si="26"/>
        <v>1981815.2265626688</v>
      </c>
      <c r="I35" s="324">
        <f t="shared" si="27"/>
        <v>1981815.2265626688</v>
      </c>
      <c r="J35" s="324">
        <f t="shared" si="28"/>
        <v>1981815.2265626688</v>
      </c>
      <c r="K35" s="324">
        <f t="shared" si="29"/>
        <v>1981815.2265626688</v>
      </c>
      <c r="L35" s="324">
        <f t="shared" si="30"/>
        <v>1981815.2265626688</v>
      </c>
      <c r="M35" s="324">
        <f t="shared" si="31"/>
        <v>1981815.2265626688</v>
      </c>
      <c r="N35" s="324">
        <f t="shared" si="32"/>
        <v>1981815.2265626688</v>
      </c>
      <c r="O35" s="324">
        <f t="shared" si="33"/>
        <v>1981815.2265626688</v>
      </c>
      <c r="P35" s="324">
        <f t="shared" si="34"/>
        <v>1981815.2265626688</v>
      </c>
      <c r="Q35" s="324">
        <f t="shared" si="35"/>
        <v>1981815.2265626688</v>
      </c>
      <c r="R35" s="324">
        <f t="shared" si="36"/>
        <v>1981815.2265626688</v>
      </c>
    </row>
    <row r="36" spans="2:18">
      <c r="B36" s="8" t="str">
        <f>'09 Ekonomická analýza - nákup'!B8</f>
        <v>Čas prípravy vlaku</v>
      </c>
      <c r="C36" s="323">
        <f t="shared" si="37"/>
        <v>2056461.4522240849</v>
      </c>
      <c r="D36" s="324">
        <f>AVERAGE('09 Ekonomická analýza - nákup'!D8:AG8)</f>
        <v>137097.43014827234</v>
      </c>
      <c r="E36" s="324">
        <f t="shared" si="38"/>
        <v>137097.43014827234</v>
      </c>
      <c r="F36" s="324">
        <f t="shared" si="38"/>
        <v>137097.43014827234</v>
      </c>
      <c r="G36" s="324">
        <f t="shared" si="38"/>
        <v>137097.43014827234</v>
      </c>
      <c r="H36" s="324">
        <f t="shared" si="26"/>
        <v>137097.43014827234</v>
      </c>
      <c r="I36" s="324">
        <f t="shared" si="27"/>
        <v>137097.43014827234</v>
      </c>
      <c r="J36" s="324">
        <f t="shared" si="28"/>
        <v>137097.43014827234</v>
      </c>
      <c r="K36" s="324">
        <f t="shared" si="29"/>
        <v>137097.43014827234</v>
      </c>
      <c r="L36" s="324">
        <f t="shared" si="30"/>
        <v>137097.43014827234</v>
      </c>
      <c r="M36" s="324">
        <f t="shared" si="31"/>
        <v>137097.43014827234</v>
      </c>
      <c r="N36" s="324">
        <f t="shared" si="32"/>
        <v>137097.43014827234</v>
      </c>
      <c r="O36" s="324">
        <f t="shared" si="33"/>
        <v>137097.43014827234</v>
      </c>
      <c r="P36" s="324">
        <f t="shared" si="34"/>
        <v>137097.43014827234</v>
      </c>
      <c r="Q36" s="324">
        <f t="shared" si="35"/>
        <v>137097.43014827234</v>
      </c>
      <c r="R36" s="324">
        <f t="shared" si="36"/>
        <v>137097.43014827234</v>
      </c>
    </row>
    <row r="37" spans="2:18" ht="15.75">
      <c r="B37" s="325" t="s">
        <v>445</v>
      </c>
      <c r="C37" s="326">
        <f>SUM(D37:R37)</f>
        <v>190976652.23952478</v>
      </c>
      <c r="D37" s="327">
        <f>(D36+D35+D34+D33)/((1+Parametre!$C$10)^(D31))</f>
        <v>17522978.625438992</v>
      </c>
      <c r="E37" s="327">
        <f>(E36+E35+E34+E33)/((1+Parametre!$C$10)^(E31))</f>
        <v>16688551.07184666</v>
      </c>
      <c r="F37" s="327">
        <f>(F36+F35+F34+F33)/((1+Parametre!$C$10)^(F31))</f>
        <v>15893858.163663484</v>
      </c>
      <c r="G37" s="327">
        <f>(G36+G35+G34+G33)/((1+Parametre!$C$10)^(G31))</f>
        <v>15137007.774917606</v>
      </c>
      <c r="H37" s="327">
        <f>(H36+H35+H34+H33)/((1+Parametre!$C$10)^(H31))</f>
        <v>14416197.880873909</v>
      </c>
      <c r="I37" s="327">
        <f>(I36+I35+I34+I33)/((1+Parametre!$C$10)^(I31))</f>
        <v>13729712.267498963</v>
      </c>
      <c r="J37" s="327">
        <f>(J36+J35+J34+J33)/((1+Parametre!$C$10)^(J31))</f>
        <v>13075916.445237106</v>
      </c>
      <c r="K37" s="327">
        <f>(K36+K35+K34+K33)/((1+Parametre!$C$10)^(K31))</f>
        <v>12453253.757368673</v>
      </c>
      <c r="L37" s="327">
        <f>(L36+L35+L34+L33)/((1+Parametre!$C$10)^(L31))</f>
        <v>11860241.67368445</v>
      </c>
      <c r="M37" s="327">
        <f>(M36+M35+M34+M33)/((1+Parametre!$C$10)^(M31))</f>
        <v>11295468.260651857</v>
      </c>
      <c r="N37" s="327">
        <f>(N36+N35+N34+N33)/((1+Parametre!$C$10)^(N31))</f>
        <v>10757588.819668435</v>
      </c>
      <c r="O37" s="327">
        <f>(O36+O35+O34+O33)/((1+Parametre!$C$10)^(O31))</f>
        <v>10245322.68539851</v>
      </c>
      <c r="P37" s="327">
        <f>(P36+P35+P34+P33)/((1+Parametre!$C$10)^(P31))</f>
        <v>9757450.1765700076</v>
      </c>
      <c r="Q37" s="327">
        <f>(Q36+Q35+Q34+Q33)/((1+Parametre!$C$10)^(Q31))</f>
        <v>9292809.691971438</v>
      </c>
      <c r="R37" s="327">
        <f>(R36+R35+R34+R33)/((1+Parametre!$C$10)^(R31))</f>
        <v>8850294.9447347</v>
      </c>
    </row>
  </sheetData>
  <sheetProtection algorithmName="SHA-512" hashValue="8XhH+6gVk9wGV5iJq6LZNUUmY7zSzTrlPPnpoOtwzPw6/bZMncjx9FrfRrYxSzSPa5NiMqXyq4ythJbYp9AorA==" saltValue="LtvWyXAWj1J7mWeQIMu6JA==" spinCount="100000" sheet="1" objects="1" scenarios="1"/>
  <pageMargins left="0.19685039370078741" right="0.19685039370078741" top="0.98425196850393704" bottom="0.78740157480314965" header="0.51181102362204722" footer="0.51181102362204722"/>
  <pageSetup scale="75" orientation="landscape" r:id="rId1"/>
  <headerFooter alignWithMargins="0">
    <oddHeader>&amp;LPríloha 7: Štandardné tabuľky - Cesty
&amp;"Arial,Tučné"&amp;12 02 Zostatková hodnota</oddHeader>
    <oddFooter>Strana &amp;P z &amp;N</oddFooter>
  </headerFooter>
  <ignoredErrors>
    <ignoredError sqref="D7:D8"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06551-F218-40D1-8206-D058EDA347D0}">
  <sheetPr>
    <tabColor rgb="FFFFC000"/>
  </sheetPr>
  <dimension ref="B2:AG46"/>
  <sheetViews>
    <sheetView zoomScaleNormal="100" workbookViewId="0">
      <selection activeCell="H5" sqref="H5"/>
    </sheetView>
  </sheetViews>
  <sheetFormatPr defaultColWidth="9.140625" defaultRowHeight="11.25"/>
  <cols>
    <col min="1" max="1" width="2" style="432" customWidth="1"/>
    <col min="2" max="2" width="40.7109375" style="432" customWidth="1"/>
    <col min="3" max="3" width="10.85546875" style="432" customWidth="1"/>
    <col min="4" max="6" width="8.85546875" style="432" bestFit="1" customWidth="1"/>
    <col min="7" max="7" width="9.42578125" style="432" bestFit="1" customWidth="1"/>
    <col min="8" max="8" width="11.140625" style="432" customWidth="1"/>
    <col min="9" max="9" width="10.42578125" style="432" customWidth="1"/>
    <col min="10" max="10" width="11" style="432" customWidth="1"/>
    <col min="11" max="33" width="9.42578125" style="432" bestFit="1" customWidth="1"/>
    <col min="34" max="16384" width="9.140625" style="432"/>
  </cols>
  <sheetData>
    <row r="2" spans="2:33">
      <c r="C2" s="436"/>
      <c r="D2" s="436" t="s">
        <v>10</v>
      </c>
      <c r="E2" s="436"/>
      <c r="F2" s="436"/>
      <c r="G2" s="436"/>
      <c r="H2" s="436"/>
      <c r="I2" s="436"/>
      <c r="J2" s="436"/>
      <c r="K2" s="436"/>
      <c r="L2" s="436"/>
      <c r="M2" s="436"/>
      <c r="N2" s="436"/>
      <c r="O2" s="436"/>
      <c r="P2" s="436"/>
      <c r="Q2" s="436"/>
      <c r="R2" s="436"/>
      <c r="S2" s="436"/>
      <c r="T2" s="436"/>
      <c r="U2" s="436"/>
      <c r="V2" s="436"/>
      <c r="W2" s="436"/>
      <c r="X2" s="436"/>
      <c r="Y2" s="436"/>
      <c r="Z2" s="436"/>
      <c r="AA2" s="436"/>
      <c r="AB2" s="436"/>
      <c r="AC2" s="436"/>
      <c r="AD2" s="436"/>
      <c r="AE2" s="436"/>
      <c r="AF2" s="436"/>
      <c r="AG2" s="436"/>
    </row>
    <row r="3" spans="2:33">
      <c r="B3" s="438" t="s">
        <v>52</v>
      </c>
      <c r="C3" s="438"/>
      <c r="D3" s="436">
        <v>1</v>
      </c>
      <c r="E3" s="436">
        <v>2</v>
      </c>
      <c r="F3" s="436">
        <v>3</v>
      </c>
      <c r="G3" s="436">
        <v>4</v>
      </c>
      <c r="H3" s="436">
        <v>5</v>
      </c>
      <c r="I3" s="436">
        <v>6</v>
      </c>
      <c r="J3" s="436">
        <v>7</v>
      </c>
      <c r="K3" s="436">
        <v>8</v>
      </c>
      <c r="L3" s="436">
        <v>9</v>
      </c>
      <c r="M3" s="436">
        <v>10</v>
      </c>
      <c r="N3" s="436">
        <v>11</v>
      </c>
      <c r="O3" s="436">
        <v>12</v>
      </c>
      <c r="P3" s="436">
        <v>13</v>
      </c>
      <c r="Q3" s="436">
        <v>14</v>
      </c>
      <c r="R3" s="436">
        <v>15</v>
      </c>
      <c r="S3" s="436">
        <v>16</v>
      </c>
      <c r="T3" s="436">
        <v>17</v>
      </c>
      <c r="U3" s="436">
        <v>18</v>
      </c>
      <c r="V3" s="436">
        <v>19</v>
      </c>
      <c r="W3" s="436">
        <v>20</v>
      </c>
      <c r="X3" s="436">
        <v>21</v>
      </c>
      <c r="Y3" s="436">
        <v>22</v>
      </c>
      <c r="Z3" s="436">
        <v>23</v>
      </c>
      <c r="AA3" s="436">
        <v>24</v>
      </c>
      <c r="AB3" s="436">
        <v>25</v>
      </c>
      <c r="AC3" s="436">
        <v>26</v>
      </c>
      <c r="AD3" s="436">
        <v>27</v>
      </c>
      <c r="AE3" s="436">
        <v>28</v>
      </c>
      <c r="AF3" s="436">
        <v>29</v>
      </c>
      <c r="AG3" s="436">
        <v>30</v>
      </c>
    </row>
    <row r="4" spans="2:33">
      <c r="B4" s="441" t="s">
        <v>32</v>
      </c>
      <c r="C4" s="441" t="s">
        <v>9</v>
      </c>
      <c r="D4" s="555">
        <v>2023</v>
      </c>
      <c r="E4" s="555">
        <f>$D$4+D3</f>
        <v>2024</v>
      </c>
      <c r="F4" s="555">
        <f>$D$4+E3</f>
        <v>2025</v>
      </c>
      <c r="G4" s="555">
        <f>$D$4+F3</f>
        <v>2026</v>
      </c>
      <c r="H4" s="555">
        <f t="shared" ref="H4:AG4" si="0">$D$4+G3</f>
        <v>2027</v>
      </c>
      <c r="I4" s="555">
        <f t="shared" si="0"/>
        <v>2028</v>
      </c>
      <c r="J4" s="555">
        <f t="shared" si="0"/>
        <v>2029</v>
      </c>
      <c r="K4" s="555">
        <f t="shared" si="0"/>
        <v>2030</v>
      </c>
      <c r="L4" s="555">
        <f t="shared" si="0"/>
        <v>2031</v>
      </c>
      <c r="M4" s="555">
        <f t="shared" si="0"/>
        <v>2032</v>
      </c>
      <c r="N4" s="555">
        <f t="shared" si="0"/>
        <v>2033</v>
      </c>
      <c r="O4" s="555">
        <f t="shared" si="0"/>
        <v>2034</v>
      </c>
      <c r="P4" s="555">
        <f t="shared" si="0"/>
        <v>2035</v>
      </c>
      <c r="Q4" s="555">
        <f t="shared" si="0"/>
        <v>2036</v>
      </c>
      <c r="R4" s="555">
        <f t="shared" si="0"/>
        <v>2037</v>
      </c>
      <c r="S4" s="555">
        <f t="shared" si="0"/>
        <v>2038</v>
      </c>
      <c r="T4" s="555">
        <f t="shared" si="0"/>
        <v>2039</v>
      </c>
      <c r="U4" s="555">
        <f t="shared" si="0"/>
        <v>2040</v>
      </c>
      <c r="V4" s="555">
        <f t="shared" si="0"/>
        <v>2041</v>
      </c>
      <c r="W4" s="555">
        <f t="shared" si="0"/>
        <v>2042</v>
      </c>
      <c r="X4" s="555">
        <f t="shared" si="0"/>
        <v>2043</v>
      </c>
      <c r="Y4" s="555">
        <f t="shared" si="0"/>
        <v>2044</v>
      </c>
      <c r="Z4" s="555">
        <f t="shared" si="0"/>
        <v>2045</v>
      </c>
      <c r="AA4" s="555">
        <f t="shared" si="0"/>
        <v>2046</v>
      </c>
      <c r="AB4" s="555">
        <f t="shared" si="0"/>
        <v>2047</v>
      </c>
      <c r="AC4" s="555">
        <f t="shared" si="0"/>
        <v>2048</v>
      </c>
      <c r="AD4" s="555">
        <f t="shared" si="0"/>
        <v>2049</v>
      </c>
      <c r="AE4" s="555">
        <f t="shared" si="0"/>
        <v>2050</v>
      </c>
      <c r="AF4" s="555">
        <f t="shared" si="0"/>
        <v>2051</v>
      </c>
      <c r="AG4" s="555">
        <f t="shared" si="0"/>
        <v>2052</v>
      </c>
    </row>
    <row r="5" spans="2:33">
      <c r="B5" s="436" t="s">
        <v>353</v>
      </c>
      <c r="C5" s="439">
        <f t="shared" ref="C5:C10" si="1">SUM(D5:AG5)</f>
        <v>2590475400</v>
      </c>
      <c r="D5" s="435">
        <f>'03A PV nákup bez proj. pomocne'!D61</f>
        <v>86349180</v>
      </c>
      <c r="E5" s="435">
        <f>'03A PV nákup bez proj. pomocne'!E61</f>
        <v>86349180</v>
      </c>
      <c r="F5" s="435">
        <f>'03A PV nákup bez proj. pomocne'!F61</f>
        <v>86349180</v>
      </c>
      <c r="G5" s="435">
        <f>'03A PV nákup bez proj. pomocne'!G61</f>
        <v>86349180</v>
      </c>
      <c r="H5" s="435">
        <f>'03A PV nákup bez proj. pomocne'!H61</f>
        <v>86349180</v>
      </c>
      <c r="I5" s="435">
        <f>'03A PV nákup bez proj. pomocne'!I61</f>
        <v>86349180</v>
      </c>
      <c r="J5" s="435">
        <f>'03A PV nákup bez proj. pomocne'!J61</f>
        <v>86349180</v>
      </c>
      <c r="K5" s="435">
        <f>'03A PV nákup bez proj. pomocne'!K61</f>
        <v>86349180</v>
      </c>
      <c r="L5" s="435">
        <f>'03A PV nákup bez proj. pomocne'!L61</f>
        <v>86349180</v>
      </c>
      <c r="M5" s="435">
        <f>'03A PV nákup bez proj. pomocne'!M61</f>
        <v>86349180</v>
      </c>
      <c r="N5" s="435">
        <f>'03A PV nákup bez proj. pomocne'!N61</f>
        <v>86349180</v>
      </c>
      <c r="O5" s="435">
        <f>'03A PV nákup bez proj. pomocne'!O61</f>
        <v>86349180</v>
      </c>
      <c r="P5" s="435">
        <f>'03A PV nákup bez proj. pomocne'!P61</f>
        <v>86349180</v>
      </c>
      <c r="Q5" s="435">
        <f>'03A PV nákup bez proj. pomocne'!Q61</f>
        <v>86349180</v>
      </c>
      <c r="R5" s="435">
        <f>'03A PV nákup bez proj. pomocne'!R61</f>
        <v>86349180</v>
      </c>
      <c r="S5" s="435">
        <f>'03A PV nákup bez proj. pomocne'!S61</f>
        <v>86349180</v>
      </c>
      <c r="T5" s="435">
        <f>'03A PV nákup bez proj. pomocne'!T61</f>
        <v>86349180</v>
      </c>
      <c r="U5" s="435">
        <f>'03A PV nákup bez proj. pomocne'!U61</f>
        <v>86349180</v>
      </c>
      <c r="V5" s="435">
        <f>'03A PV nákup bez proj. pomocne'!V61</f>
        <v>86349180</v>
      </c>
      <c r="W5" s="435">
        <f>'03A PV nákup bez proj. pomocne'!W61</f>
        <v>86349180</v>
      </c>
      <c r="X5" s="435">
        <f>'03A PV nákup bez proj. pomocne'!X61</f>
        <v>86349180</v>
      </c>
      <c r="Y5" s="435">
        <f>'03A PV nákup bez proj. pomocne'!Y61</f>
        <v>86349180</v>
      </c>
      <c r="Z5" s="435">
        <f>'03A PV nákup bez proj. pomocne'!Z61</f>
        <v>86349180</v>
      </c>
      <c r="AA5" s="435">
        <f>'03A PV nákup bez proj. pomocne'!AA61</f>
        <v>86349180</v>
      </c>
      <c r="AB5" s="435">
        <f>'03A PV nákup bez proj. pomocne'!AB61</f>
        <v>86349180</v>
      </c>
      <c r="AC5" s="435">
        <f>'03A PV nákup bez proj. pomocne'!AC61</f>
        <v>86349180</v>
      </c>
      <c r="AD5" s="435">
        <f>'03A PV nákup bez proj. pomocne'!AD61</f>
        <v>86349180</v>
      </c>
      <c r="AE5" s="435">
        <f>'03A PV nákup bez proj. pomocne'!AE61</f>
        <v>86349180</v>
      </c>
      <c r="AF5" s="435">
        <f>'03A PV nákup bez proj. pomocne'!AF61</f>
        <v>86349180</v>
      </c>
      <c r="AG5" s="435">
        <f>'03A PV nákup bez proj. pomocne'!AG61</f>
        <v>86349180</v>
      </c>
    </row>
    <row r="6" spans="2:33">
      <c r="B6" s="436" t="s">
        <v>351</v>
      </c>
      <c r="C6" s="439">
        <f t="shared" si="1"/>
        <v>506500000</v>
      </c>
      <c r="D6" s="435">
        <f>'03A PV nákup bez proj. pomocne'!D62</f>
        <v>0</v>
      </c>
      <c r="E6" s="435">
        <f>'03A PV nákup bez proj. pomocne'!E62</f>
        <v>0</v>
      </c>
      <c r="F6" s="435">
        <f>'03A PV nákup bez proj. pomocne'!F62</f>
        <v>0</v>
      </c>
      <c r="G6" s="435">
        <f>'03A PV nákup bez proj. pomocne'!G62</f>
        <v>67000000</v>
      </c>
      <c r="H6" s="435">
        <f>'03A PV nákup bez proj. pomocne'!H62</f>
        <v>111500000</v>
      </c>
      <c r="I6" s="435">
        <f>'03A PV nákup bez proj. pomocne'!I62</f>
        <v>111500000</v>
      </c>
      <c r="J6" s="435">
        <f>'03A PV nákup bez proj. pomocne'!J62</f>
        <v>111500000</v>
      </c>
      <c r="K6" s="435">
        <f>'03A PV nákup bez proj. pomocne'!K62</f>
        <v>0</v>
      </c>
      <c r="L6" s="435">
        <f>'03A PV nákup bez proj. pomocne'!L62</f>
        <v>0</v>
      </c>
      <c r="M6" s="435">
        <f>'03A PV nákup bez proj. pomocne'!M62</f>
        <v>0</v>
      </c>
      <c r="N6" s="435">
        <f>'03A PV nákup bez proj. pomocne'!N62</f>
        <v>0</v>
      </c>
      <c r="O6" s="435">
        <f>'03A PV nákup bez proj. pomocne'!O62</f>
        <v>0</v>
      </c>
      <c r="P6" s="435">
        <f>'03A PV nákup bez proj. pomocne'!P62</f>
        <v>0</v>
      </c>
      <c r="Q6" s="435">
        <f>'03A PV nákup bez proj. pomocne'!Q62</f>
        <v>0</v>
      </c>
      <c r="R6" s="435">
        <f>'03A PV nákup bez proj. pomocne'!R62</f>
        <v>0</v>
      </c>
      <c r="S6" s="435">
        <f>'03A PV nákup bez proj. pomocne'!S62</f>
        <v>0</v>
      </c>
      <c r="T6" s="435">
        <f>'03A PV nákup bez proj. pomocne'!T62</f>
        <v>0</v>
      </c>
      <c r="U6" s="435">
        <f>'03A PV nákup bez proj. pomocne'!U62</f>
        <v>0</v>
      </c>
      <c r="V6" s="435">
        <f>'03A PV nákup bez proj. pomocne'!V62</f>
        <v>18000000</v>
      </c>
      <c r="W6" s="435">
        <f>'03A PV nákup bez proj. pomocne'!W62</f>
        <v>29000000</v>
      </c>
      <c r="X6" s="435">
        <f>'03A PV nákup bez proj. pomocne'!X62</f>
        <v>29000000</v>
      </c>
      <c r="Y6" s="435">
        <f>'03A PV nákup bez proj. pomocne'!Y62</f>
        <v>29000000</v>
      </c>
      <c r="Z6" s="435">
        <f>'03A PV nákup bez proj. pomocne'!Z62</f>
        <v>0</v>
      </c>
      <c r="AA6" s="435">
        <f>'03A PV nákup bez proj. pomocne'!AA62</f>
        <v>0</v>
      </c>
      <c r="AB6" s="435">
        <f>'03A PV nákup bez proj. pomocne'!AB62</f>
        <v>0</v>
      </c>
      <c r="AC6" s="435">
        <f>'03A PV nákup bez proj. pomocne'!AC62</f>
        <v>0</v>
      </c>
      <c r="AD6" s="435">
        <f>'03A PV nákup bez proj. pomocne'!AD62</f>
        <v>0</v>
      </c>
      <c r="AE6" s="435">
        <f>'03A PV nákup bez proj. pomocne'!AE62</f>
        <v>0</v>
      </c>
      <c r="AF6" s="435">
        <f>'03A PV nákup bez proj. pomocne'!AF62</f>
        <v>0</v>
      </c>
      <c r="AG6" s="435">
        <f>'03A PV nákup bez proj. pomocne'!AG62</f>
        <v>0</v>
      </c>
    </row>
    <row r="7" spans="2:33">
      <c r="B7" s="438" t="s">
        <v>350</v>
      </c>
      <c r="C7" s="437">
        <f t="shared" si="1"/>
        <v>3096975400</v>
      </c>
      <c r="D7" s="437">
        <f t="shared" ref="D7:AG7" si="2">SUM(D5:D6)</f>
        <v>86349180</v>
      </c>
      <c r="E7" s="437">
        <f t="shared" si="2"/>
        <v>86349180</v>
      </c>
      <c r="F7" s="437">
        <f t="shared" si="2"/>
        <v>86349180</v>
      </c>
      <c r="G7" s="437">
        <f t="shared" si="2"/>
        <v>153349180</v>
      </c>
      <c r="H7" s="437">
        <f t="shared" si="2"/>
        <v>197849180</v>
      </c>
      <c r="I7" s="437">
        <f t="shared" si="2"/>
        <v>197849180</v>
      </c>
      <c r="J7" s="437">
        <f t="shared" si="2"/>
        <v>197849180</v>
      </c>
      <c r="K7" s="437">
        <f t="shared" si="2"/>
        <v>86349180</v>
      </c>
      <c r="L7" s="437">
        <f t="shared" si="2"/>
        <v>86349180</v>
      </c>
      <c r="M7" s="437">
        <f t="shared" si="2"/>
        <v>86349180</v>
      </c>
      <c r="N7" s="437">
        <f t="shared" si="2"/>
        <v>86349180</v>
      </c>
      <c r="O7" s="437">
        <f t="shared" si="2"/>
        <v>86349180</v>
      </c>
      <c r="P7" s="437">
        <f t="shared" si="2"/>
        <v>86349180</v>
      </c>
      <c r="Q7" s="437">
        <f t="shared" si="2"/>
        <v>86349180</v>
      </c>
      <c r="R7" s="437">
        <f t="shared" si="2"/>
        <v>86349180</v>
      </c>
      <c r="S7" s="437">
        <f t="shared" si="2"/>
        <v>86349180</v>
      </c>
      <c r="T7" s="437">
        <f t="shared" si="2"/>
        <v>86349180</v>
      </c>
      <c r="U7" s="437">
        <f t="shared" si="2"/>
        <v>86349180</v>
      </c>
      <c r="V7" s="437">
        <f t="shared" si="2"/>
        <v>104349180</v>
      </c>
      <c r="W7" s="437">
        <f t="shared" si="2"/>
        <v>115349180</v>
      </c>
      <c r="X7" s="437">
        <f t="shared" si="2"/>
        <v>115349180</v>
      </c>
      <c r="Y7" s="437">
        <f t="shared" si="2"/>
        <v>115349180</v>
      </c>
      <c r="Z7" s="437">
        <f t="shared" si="2"/>
        <v>86349180</v>
      </c>
      <c r="AA7" s="437">
        <f t="shared" si="2"/>
        <v>86349180</v>
      </c>
      <c r="AB7" s="437">
        <f t="shared" si="2"/>
        <v>86349180</v>
      </c>
      <c r="AC7" s="437">
        <f t="shared" si="2"/>
        <v>86349180</v>
      </c>
      <c r="AD7" s="437">
        <f t="shared" si="2"/>
        <v>86349180</v>
      </c>
      <c r="AE7" s="437">
        <f t="shared" si="2"/>
        <v>86349180</v>
      </c>
      <c r="AF7" s="437">
        <f t="shared" si="2"/>
        <v>86349180</v>
      </c>
      <c r="AG7" s="437">
        <f t="shared" si="2"/>
        <v>86349180</v>
      </c>
    </row>
    <row r="8" spans="2:33">
      <c r="B8" s="436" t="s">
        <v>56</v>
      </c>
      <c r="C8" s="439">
        <f t="shared" si="1"/>
        <v>153188400</v>
      </c>
      <c r="D8" s="435">
        <f>'03A PV nákup bez proj. pomocne'!D64</f>
        <v>5106280</v>
      </c>
      <c r="E8" s="435">
        <f>'03A PV nákup bez proj. pomocne'!E64</f>
        <v>5106280</v>
      </c>
      <c r="F8" s="435">
        <f>'03A PV nákup bez proj. pomocne'!F64</f>
        <v>5106280</v>
      </c>
      <c r="G8" s="435">
        <f>'03A PV nákup bez proj. pomocne'!G64</f>
        <v>5106280</v>
      </c>
      <c r="H8" s="435">
        <f>'03A PV nákup bez proj. pomocne'!H64</f>
        <v>5106280</v>
      </c>
      <c r="I8" s="435">
        <f>'03A PV nákup bez proj. pomocne'!I64</f>
        <v>5106280</v>
      </c>
      <c r="J8" s="435">
        <f>'03A PV nákup bez proj. pomocne'!J64</f>
        <v>5106280</v>
      </c>
      <c r="K8" s="435">
        <f>'03A PV nákup bez proj. pomocne'!K64</f>
        <v>5106280</v>
      </c>
      <c r="L8" s="435">
        <f>'03A PV nákup bez proj. pomocne'!L64</f>
        <v>5106280</v>
      </c>
      <c r="M8" s="435">
        <f>'03A PV nákup bez proj. pomocne'!M64</f>
        <v>5106280</v>
      </c>
      <c r="N8" s="435">
        <f>'03A PV nákup bez proj. pomocne'!N64</f>
        <v>5106280</v>
      </c>
      <c r="O8" s="435">
        <f>'03A PV nákup bez proj. pomocne'!O64</f>
        <v>5106280</v>
      </c>
      <c r="P8" s="435">
        <f>'03A PV nákup bez proj. pomocne'!P64</f>
        <v>5106280</v>
      </c>
      <c r="Q8" s="435">
        <f>'03A PV nákup bez proj. pomocne'!Q64</f>
        <v>5106280</v>
      </c>
      <c r="R8" s="435">
        <f>'03A PV nákup bez proj. pomocne'!R64</f>
        <v>5106280</v>
      </c>
      <c r="S8" s="435">
        <f>'03A PV nákup bez proj. pomocne'!S64</f>
        <v>5106280</v>
      </c>
      <c r="T8" s="435">
        <f>'03A PV nákup bez proj. pomocne'!T64</f>
        <v>5106280</v>
      </c>
      <c r="U8" s="435">
        <f>'03A PV nákup bez proj. pomocne'!U64</f>
        <v>5106280</v>
      </c>
      <c r="V8" s="435">
        <f>'03A PV nákup bez proj. pomocne'!V64</f>
        <v>5106280</v>
      </c>
      <c r="W8" s="435">
        <f>'03A PV nákup bez proj. pomocne'!W64</f>
        <v>5106280</v>
      </c>
      <c r="X8" s="435">
        <f>'03A PV nákup bez proj. pomocne'!X64</f>
        <v>5106280</v>
      </c>
      <c r="Y8" s="435">
        <f>'03A PV nákup bez proj. pomocne'!Y64</f>
        <v>5106280</v>
      </c>
      <c r="Z8" s="435">
        <f>'03A PV nákup bez proj. pomocne'!Z64</f>
        <v>5106280</v>
      </c>
      <c r="AA8" s="435">
        <f>'03A PV nákup bez proj. pomocne'!AA64</f>
        <v>5106280</v>
      </c>
      <c r="AB8" s="435">
        <f>'03A PV nákup bez proj. pomocne'!AB64</f>
        <v>5106280</v>
      </c>
      <c r="AC8" s="435">
        <f>'03A PV nákup bez proj. pomocne'!AC64</f>
        <v>5106280</v>
      </c>
      <c r="AD8" s="435">
        <f>'03A PV nákup bez proj. pomocne'!AD64</f>
        <v>5106280</v>
      </c>
      <c r="AE8" s="435">
        <f>'03A PV nákup bez proj. pomocne'!AE64</f>
        <v>5106280</v>
      </c>
      <c r="AF8" s="435">
        <f>'03A PV nákup bez proj. pomocne'!AF64</f>
        <v>5106280</v>
      </c>
      <c r="AG8" s="435">
        <f>'03A PV nákup bez proj. pomocne'!AG64</f>
        <v>5106280</v>
      </c>
    </row>
    <row r="9" spans="2:33" ht="12" thickBot="1">
      <c r="B9" s="434" t="s">
        <v>54</v>
      </c>
      <c r="C9" s="433">
        <f t="shared" si="1"/>
        <v>153188400</v>
      </c>
      <c r="D9" s="433">
        <f t="shared" ref="D9:AG9" si="3">SUM(D8:D8)</f>
        <v>5106280</v>
      </c>
      <c r="E9" s="433">
        <f t="shared" si="3"/>
        <v>5106280</v>
      </c>
      <c r="F9" s="433">
        <f t="shared" si="3"/>
        <v>5106280</v>
      </c>
      <c r="G9" s="433">
        <f t="shared" si="3"/>
        <v>5106280</v>
      </c>
      <c r="H9" s="433">
        <f t="shared" si="3"/>
        <v>5106280</v>
      </c>
      <c r="I9" s="433">
        <f t="shared" si="3"/>
        <v>5106280</v>
      </c>
      <c r="J9" s="433">
        <f t="shared" si="3"/>
        <v>5106280</v>
      </c>
      <c r="K9" s="433">
        <f t="shared" si="3"/>
        <v>5106280</v>
      </c>
      <c r="L9" s="433">
        <f t="shared" si="3"/>
        <v>5106280</v>
      </c>
      <c r="M9" s="433">
        <f t="shared" si="3"/>
        <v>5106280</v>
      </c>
      <c r="N9" s="433">
        <f t="shared" si="3"/>
        <v>5106280</v>
      </c>
      <c r="O9" s="433">
        <f t="shared" si="3"/>
        <v>5106280</v>
      </c>
      <c r="P9" s="433">
        <f t="shared" si="3"/>
        <v>5106280</v>
      </c>
      <c r="Q9" s="433">
        <f t="shared" si="3"/>
        <v>5106280</v>
      </c>
      <c r="R9" s="433">
        <f t="shared" si="3"/>
        <v>5106280</v>
      </c>
      <c r="S9" s="433">
        <f t="shared" si="3"/>
        <v>5106280</v>
      </c>
      <c r="T9" s="433">
        <f t="shared" si="3"/>
        <v>5106280</v>
      </c>
      <c r="U9" s="433">
        <f t="shared" si="3"/>
        <v>5106280</v>
      </c>
      <c r="V9" s="433">
        <f t="shared" si="3"/>
        <v>5106280</v>
      </c>
      <c r="W9" s="433">
        <f t="shared" si="3"/>
        <v>5106280</v>
      </c>
      <c r="X9" s="433">
        <f t="shared" si="3"/>
        <v>5106280</v>
      </c>
      <c r="Y9" s="433">
        <f t="shared" si="3"/>
        <v>5106280</v>
      </c>
      <c r="Z9" s="433">
        <f t="shared" si="3"/>
        <v>5106280</v>
      </c>
      <c r="AA9" s="433">
        <f t="shared" si="3"/>
        <v>5106280</v>
      </c>
      <c r="AB9" s="433">
        <f t="shared" si="3"/>
        <v>5106280</v>
      </c>
      <c r="AC9" s="433">
        <f t="shared" si="3"/>
        <v>5106280</v>
      </c>
      <c r="AD9" s="433">
        <f t="shared" si="3"/>
        <v>5106280</v>
      </c>
      <c r="AE9" s="433">
        <f t="shared" si="3"/>
        <v>5106280</v>
      </c>
      <c r="AF9" s="433">
        <f t="shared" si="3"/>
        <v>5106280</v>
      </c>
      <c r="AG9" s="433">
        <f t="shared" si="3"/>
        <v>5106280</v>
      </c>
    </row>
    <row r="10" spans="2:33" ht="12" thickTop="1">
      <c r="B10" s="431" t="s">
        <v>53</v>
      </c>
      <c r="C10" s="430">
        <f t="shared" si="1"/>
        <v>3250163800</v>
      </c>
      <c r="D10" s="430">
        <f t="shared" ref="D10:AG10" si="4">SUM(D7,D9)</f>
        <v>91455460</v>
      </c>
      <c r="E10" s="430">
        <f t="shared" si="4"/>
        <v>91455460</v>
      </c>
      <c r="F10" s="430">
        <f t="shared" si="4"/>
        <v>91455460</v>
      </c>
      <c r="G10" s="430">
        <f t="shared" si="4"/>
        <v>158455460</v>
      </c>
      <c r="H10" s="430">
        <f t="shared" si="4"/>
        <v>202955460</v>
      </c>
      <c r="I10" s="430">
        <f t="shared" si="4"/>
        <v>202955460</v>
      </c>
      <c r="J10" s="430">
        <f t="shared" si="4"/>
        <v>202955460</v>
      </c>
      <c r="K10" s="430">
        <f t="shared" si="4"/>
        <v>91455460</v>
      </c>
      <c r="L10" s="430">
        <f t="shared" si="4"/>
        <v>91455460</v>
      </c>
      <c r="M10" s="430">
        <f t="shared" si="4"/>
        <v>91455460</v>
      </c>
      <c r="N10" s="430">
        <f t="shared" si="4"/>
        <v>91455460</v>
      </c>
      <c r="O10" s="430">
        <f t="shared" si="4"/>
        <v>91455460</v>
      </c>
      <c r="P10" s="430">
        <f t="shared" si="4"/>
        <v>91455460</v>
      </c>
      <c r="Q10" s="430">
        <f t="shared" si="4"/>
        <v>91455460</v>
      </c>
      <c r="R10" s="430">
        <f t="shared" si="4"/>
        <v>91455460</v>
      </c>
      <c r="S10" s="430">
        <f t="shared" si="4"/>
        <v>91455460</v>
      </c>
      <c r="T10" s="430">
        <f t="shared" si="4"/>
        <v>91455460</v>
      </c>
      <c r="U10" s="430">
        <f t="shared" si="4"/>
        <v>91455460</v>
      </c>
      <c r="V10" s="430">
        <f t="shared" si="4"/>
        <v>109455460</v>
      </c>
      <c r="W10" s="430">
        <f t="shared" si="4"/>
        <v>120455460</v>
      </c>
      <c r="X10" s="430">
        <f t="shared" si="4"/>
        <v>120455460</v>
      </c>
      <c r="Y10" s="430">
        <f t="shared" si="4"/>
        <v>120455460</v>
      </c>
      <c r="Z10" s="430">
        <f t="shared" si="4"/>
        <v>91455460</v>
      </c>
      <c r="AA10" s="430">
        <f t="shared" si="4"/>
        <v>91455460</v>
      </c>
      <c r="AB10" s="430">
        <f t="shared" si="4"/>
        <v>91455460</v>
      </c>
      <c r="AC10" s="430">
        <f t="shared" si="4"/>
        <v>91455460</v>
      </c>
      <c r="AD10" s="430">
        <f t="shared" si="4"/>
        <v>91455460</v>
      </c>
      <c r="AE10" s="430">
        <f t="shared" si="4"/>
        <v>91455460</v>
      </c>
      <c r="AF10" s="430">
        <f t="shared" si="4"/>
        <v>91455460</v>
      </c>
      <c r="AG10" s="430">
        <f t="shared" si="4"/>
        <v>91455460</v>
      </c>
    </row>
    <row r="13" spans="2:33">
      <c r="C13" s="436"/>
      <c r="D13" s="436" t="s">
        <v>10</v>
      </c>
      <c r="E13" s="436"/>
      <c r="F13" s="436"/>
      <c r="G13" s="436"/>
      <c r="H13" s="436"/>
      <c r="I13" s="436"/>
      <c r="J13" s="436"/>
      <c r="K13" s="436"/>
      <c r="L13" s="436"/>
      <c r="M13" s="436"/>
      <c r="N13" s="436"/>
      <c r="O13" s="436"/>
      <c r="P13" s="436"/>
      <c r="Q13" s="436"/>
      <c r="R13" s="436"/>
      <c r="S13" s="436"/>
      <c r="T13" s="436"/>
      <c r="U13" s="436"/>
      <c r="V13" s="436"/>
      <c r="W13" s="436"/>
      <c r="X13" s="436"/>
      <c r="Y13" s="436"/>
      <c r="Z13" s="436"/>
      <c r="AA13" s="436"/>
      <c r="AB13" s="436"/>
      <c r="AC13" s="436"/>
      <c r="AD13" s="436"/>
      <c r="AE13" s="436"/>
      <c r="AF13" s="436"/>
      <c r="AG13" s="436"/>
    </row>
    <row r="14" spans="2:33">
      <c r="B14" s="438" t="s">
        <v>57</v>
      </c>
      <c r="C14" s="438"/>
      <c r="D14" s="442">
        <v>1</v>
      </c>
      <c r="E14" s="442">
        <v>2</v>
      </c>
      <c r="F14" s="442">
        <v>3</v>
      </c>
      <c r="G14" s="442">
        <v>4</v>
      </c>
      <c r="H14" s="442">
        <v>5</v>
      </c>
      <c r="I14" s="442">
        <v>6</v>
      </c>
      <c r="J14" s="442">
        <v>7</v>
      </c>
      <c r="K14" s="442">
        <v>8</v>
      </c>
      <c r="L14" s="442">
        <v>9</v>
      </c>
      <c r="M14" s="442">
        <v>10</v>
      </c>
      <c r="N14" s="442">
        <v>11</v>
      </c>
      <c r="O14" s="442">
        <v>12</v>
      </c>
      <c r="P14" s="442">
        <v>13</v>
      </c>
      <c r="Q14" s="442">
        <v>14</v>
      </c>
      <c r="R14" s="442">
        <v>15</v>
      </c>
      <c r="S14" s="442">
        <v>16</v>
      </c>
      <c r="T14" s="442">
        <v>17</v>
      </c>
      <c r="U14" s="442">
        <v>18</v>
      </c>
      <c r="V14" s="442">
        <v>19</v>
      </c>
      <c r="W14" s="442">
        <v>20</v>
      </c>
      <c r="X14" s="442">
        <v>21</v>
      </c>
      <c r="Y14" s="442">
        <v>22</v>
      </c>
      <c r="Z14" s="442">
        <v>23</v>
      </c>
      <c r="AA14" s="442">
        <v>24</v>
      </c>
      <c r="AB14" s="442">
        <v>25</v>
      </c>
      <c r="AC14" s="442">
        <v>26</v>
      </c>
      <c r="AD14" s="442">
        <v>27</v>
      </c>
      <c r="AE14" s="442">
        <v>28</v>
      </c>
      <c r="AF14" s="442">
        <v>29</v>
      </c>
      <c r="AG14" s="442">
        <v>30</v>
      </c>
    </row>
    <row r="15" spans="2:33">
      <c r="B15" s="441" t="s">
        <v>33</v>
      </c>
      <c r="C15" s="441" t="s">
        <v>9</v>
      </c>
      <c r="D15" s="440">
        <f>D4</f>
        <v>2023</v>
      </c>
      <c r="E15" s="440">
        <f>$D$4+D14</f>
        <v>2024</v>
      </c>
      <c r="F15" s="440">
        <f>$D$4+E14</f>
        <v>2025</v>
      </c>
      <c r="G15" s="440">
        <f>$D$4+F14</f>
        <v>2026</v>
      </c>
      <c r="H15" s="440">
        <f t="shared" ref="H15:AG15" si="5">$D$4+G14</f>
        <v>2027</v>
      </c>
      <c r="I15" s="440">
        <f t="shared" si="5"/>
        <v>2028</v>
      </c>
      <c r="J15" s="440">
        <f t="shared" si="5"/>
        <v>2029</v>
      </c>
      <c r="K15" s="440">
        <f t="shared" si="5"/>
        <v>2030</v>
      </c>
      <c r="L15" s="440">
        <f t="shared" si="5"/>
        <v>2031</v>
      </c>
      <c r="M15" s="440">
        <f t="shared" si="5"/>
        <v>2032</v>
      </c>
      <c r="N15" s="440">
        <f t="shared" si="5"/>
        <v>2033</v>
      </c>
      <c r="O15" s="440">
        <f t="shared" si="5"/>
        <v>2034</v>
      </c>
      <c r="P15" s="440">
        <f t="shared" si="5"/>
        <v>2035</v>
      </c>
      <c r="Q15" s="440">
        <f t="shared" si="5"/>
        <v>2036</v>
      </c>
      <c r="R15" s="440">
        <f t="shared" si="5"/>
        <v>2037</v>
      </c>
      <c r="S15" s="440">
        <f t="shared" si="5"/>
        <v>2038</v>
      </c>
      <c r="T15" s="440">
        <f t="shared" si="5"/>
        <v>2039</v>
      </c>
      <c r="U15" s="440">
        <f t="shared" si="5"/>
        <v>2040</v>
      </c>
      <c r="V15" s="440">
        <f t="shared" si="5"/>
        <v>2041</v>
      </c>
      <c r="W15" s="440">
        <f t="shared" si="5"/>
        <v>2042</v>
      </c>
      <c r="X15" s="440">
        <f t="shared" si="5"/>
        <v>2043</v>
      </c>
      <c r="Y15" s="440">
        <f t="shared" si="5"/>
        <v>2044</v>
      </c>
      <c r="Z15" s="440">
        <f t="shared" si="5"/>
        <v>2045</v>
      </c>
      <c r="AA15" s="440">
        <f t="shared" si="5"/>
        <v>2046</v>
      </c>
      <c r="AB15" s="440">
        <f t="shared" si="5"/>
        <v>2047</v>
      </c>
      <c r="AC15" s="440">
        <f t="shared" si="5"/>
        <v>2048</v>
      </c>
      <c r="AD15" s="440">
        <f t="shared" si="5"/>
        <v>2049</v>
      </c>
      <c r="AE15" s="440">
        <f t="shared" si="5"/>
        <v>2050</v>
      </c>
      <c r="AF15" s="440">
        <f t="shared" si="5"/>
        <v>2051</v>
      </c>
      <c r="AG15" s="440">
        <f t="shared" si="5"/>
        <v>2052</v>
      </c>
    </row>
    <row r="16" spans="2:33">
      <c r="B16" s="436" t="s">
        <v>353</v>
      </c>
      <c r="C16" s="439">
        <f t="shared" ref="C16:C21" si="6">SUM(D16:AG16)</f>
        <v>2451520650</v>
      </c>
      <c r="D16" s="435">
        <f>'03B PV nákup s proj. pomocné '!D92</f>
        <v>86349180</v>
      </c>
      <c r="E16" s="435">
        <f>'03B PV nákup s proj. pomocné '!E92</f>
        <v>86349180</v>
      </c>
      <c r="F16" s="435">
        <f>'03B PV nákup s proj. pomocné '!F92</f>
        <v>84784380</v>
      </c>
      <c r="G16" s="435">
        <f>'03B PV nákup s proj. pomocné '!G92</f>
        <v>86603580</v>
      </c>
      <c r="H16" s="435">
        <f>'03B PV nákup s proj. pomocné '!H92</f>
        <v>84471830</v>
      </c>
      <c r="I16" s="435">
        <f>'03B PV nákup s proj. pomocné '!I92</f>
        <v>80918500</v>
      </c>
      <c r="J16" s="435">
        <f>'03B PV nákup s proj. pomocné '!J92</f>
        <v>80918500</v>
      </c>
      <c r="K16" s="435">
        <f>'03B PV nákup s proj. pomocné '!K92</f>
        <v>80918500</v>
      </c>
      <c r="L16" s="435">
        <f>'03B PV nákup s proj. pomocné '!L92</f>
        <v>80918500</v>
      </c>
      <c r="M16" s="435">
        <f>'03B PV nákup s proj. pomocné '!M92</f>
        <v>80918500</v>
      </c>
      <c r="N16" s="435">
        <f>'03B PV nákup s proj. pomocné '!N92</f>
        <v>80918500</v>
      </c>
      <c r="O16" s="435">
        <f>'03B PV nákup s proj. pomocné '!O92</f>
        <v>80918500</v>
      </c>
      <c r="P16" s="435">
        <f>'03B PV nákup s proj. pomocné '!P92</f>
        <v>80918500</v>
      </c>
      <c r="Q16" s="435">
        <f>'03B PV nákup s proj. pomocné '!Q92</f>
        <v>80918500</v>
      </c>
      <c r="R16" s="435">
        <f>'03B PV nákup s proj. pomocné '!R92</f>
        <v>80918500</v>
      </c>
      <c r="S16" s="435">
        <f>'03B PV nákup s proj. pomocné '!S92</f>
        <v>80918500</v>
      </c>
      <c r="T16" s="435">
        <f>'03B PV nákup s proj. pomocné '!T92</f>
        <v>80918500</v>
      </c>
      <c r="U16" s="435">
        <f>'03B PV nákup s proj. pomocné '!U92</f>
        <v>80918500</v>
      </c>
      <c r="V16" s="435">
        <f>'03B PV nákup s proj. pomocné '!V92</f>
        <v>80918500</v>
      </c>
      <c r="W16" s="435">
        <f>'03B PV nákup s proj. pomocné '!W92</f>
        <v>80918500</v>
      </c>
      <c r="X16" s="435">
        <f>'03B PV nákup s proj. pomocné '!X92</f>
        <v>80918500</v>
      </c>
      <c r="Y16" s="435">
        <f>'03B PV nákup s proj. pomocné '!Y92</f>
        <v>80918500</v>
      </c>
      <c r="Z16" s="435">
        <f>'03B PV nákup s proj. pomocné '!Z92</f>
        <v>80918500</v>
      </c>
      <c r="AA16" s="435">
        <f>'03B PV nákup s proj. pomocné '!AA92</f>
        <v>80918500</v>
      </c>
      <c r="AB16" s="435">
        <f>'03B PV nákup s proj. pomocné '!AB92</f>
        <v>80918500</v>
      </c>
      <c r="AC16" s="435">
        <f>'03B PV nákup s proj. pomocné '!AC92</f>
        <v>80918500</v>
      </c>
      <c r="AD16" s="435">
        <f>'03B PV nákup s proj. pomocné '!AD92</f>
        <v>80918500</v>
      </c>
      <c r="AE16" s="435">
        <f>'03B PV nákup s proj. pomocné '!AE92</f>
        <v>80918500</v>
      </c>
      <c r="AF16" s="435">
        <f>'03B PV nákup s proj. pomocné '!AF92</f>
        <v>80918500</v>
      </c>
      <c r="AG16" s="435">
        <f>'03B PV nákup s proj. pomocné '!AG92</f>
        <v>80918500</v>
      </c>
    </row>
    <row r="17" spans="2:33">
      <c r="B17" s="436" t="s">
        <v>351</v>
      </c>
      <c r="C17" s="439">
        <f t="shared" si="6"/>
        <v>39500000</v>
      </c>
      <c r="D17" s="435">
        <f>'03B PV nákup s proj. pomocné '!D93</f>
        <v>0</v>
      </c>
      <c r="E17" s="435">
        <f>'03B PV nákup s proj. pomocné '!E93</f>
        <v>0</v>
      </c>
      <c r="F17" s="435">
        <f>'03B PV nákup s proj. pomocné '!F93</f>
        <v>0</v>
      </c>
      <c r="G17" s="435">
        <f>'03B PV nákup s proj. pomocné '!G93</f>
        <v>0</v>
      </c>
      <c r="H17" s="435">
        <f>'03B PV nákup s proj. pomocné '!H93</f>
        <v>0</v>
      </c>
      <c r="I17" s="435">
        <f>'03B PV nákup s proj. pomocné '!I93</f>
        <v>0</v>
      </c>
      <c r="J17" s="435">
        <f>'03B PV nákup s proj. pomocné '!J93</f>
        <v>0</v>
      </c>
      <c r="K17" s="435">
        <f>'03B PV nákup s proj. pomocné '!K93</f>
        <v>0</v>
      </c>
      <c r="L17" s="435">
        <f>'03B PV nákup s proj. pomocné '!L93</f>
        <v>0</v>
      </c>
      <c r="M17" s="435">
        <f>'03B PV nákup s proj. pomocné '!M93</f>
        <v>0</v>
      </c>
      <c r="N17" s="435">
        <f>'03B PV nákup s proj. pomocné '!N93</f>
        <v>0</v>
      </c>
      <c r="O17" s="435">
        <f>'03B PV nákup s proj. pomocné '!O93</f>
        <v>0</v>
      </c>
      <c r="P17" s="435">
        <f>'03B PV nákup s proj. pomocné '!P93</f>
        <v>0</v>
      </c>
      <c r="Q17" s="435">
        <f>'03B PV nákup s proj. pomocné '!Q93</f>
        <v>0</v>
      </c>
      <c r="R17" s="435">
        <f>'03B PV nákup s proj. pomocné '!R93</f>
        <v>0</v>
      </c>
      <c r="S17" s="435">
        <f>'03B PV nákup s proj. pomocné '!S93</f>
        <v>0</v>
      </c>
      <c r="T17" s="435">
        <f>'03B PV nákup s proj. pomocné '!T93</f>
        <v>0</v>
      </c>
      <c r="U17" s="435">
        <f>'03B PV nákup s proj. pomocné '!U93</f>
        <v>0</v>
      </c>
      <c r="V17" s="435">
        <f>'03B PV nákup s proj. pomocné '!V93</f>
        <v>0</v>
      </c>
      <c r="W17" s="435">
        <f>'03B PV nákup s proj. pomocné '!W93</f>
        <v>5400000</v>
      </c>
      <c r="X17" s="435">
        <f>'03B PV nákup s proj. pomocné '!X93</f>
        <v>5400000</v>
      </c>
      <c r="Y17" s="435">
        <f>'03B PV nákup s proj. pomocné '!Y93</f>
        <v>5400000</v>
      </c>
      <c r="Z17" s="435">
        <f>'03B PV nákup s proj. pomocné '!Z93</f>
        <v>5400000</v>
      </c>
      <c r="AA17" s="435">
        <f>'03B PV nákup s proj. pomocné '!AA93</f>
        <v>5400000</v>
      </c>
      <c r="AB17" s="435">
        <f>'03B PV nákup s proj. pomocné '!AB93</f>
        <v>2500000</v>
      </c>
      <c r="AC17" s="435">
        <f>'03B PV nákup s proj. pomocné '!AC93</f>
        <v>2500000</v>
      </c>
      <c r="AD17" s="435">
        <f>'03B PV nákup s proj. pomocné '!AD93</f>
        <v>2500000</v>
      </c>
      <c r="AE17" s="435">
        <f>'03B PV nákup s proj. pomocné '!AE93</f>
        <v>2500000</v>
      </c>
      <c r="AF17" s="435">
        <f>'03B PV nákup s proj. pomocné '!AF93</f>
        <v>2500000</v>
      </c>
      <c r="AG17" s="435">
        <f>'03B PV nákup s proj. pomocné '!AG93</f>
        <v>0</v>
      </c>
    </row>
    <row r="18" spans="2:33">
      <c r="B18" s="438" t="s">
        <v>350</v>
      </c>
      <c r="C18" s="437">
        <f t="shared" si="6"/>
        <v>2491020650</v>
      </c>
      <c r="D18" s="437">
        <f t="shared" ref="D18:AG18" si="7">SUM(D16:D17)</f>
        <v>86349180</v>
      </c>
      <c r="E18" s="437">
        <f t="shared" si="7"/>
        <v>86349180</v>
      </c>
      <c r="F18" s="437">
        <f t="shared" si="7"/>
        <v>84784380</v>
      </c>
      <c r="G18" s="437">
        <f t="shared" si="7"/>
        <v>86603580</v>
      </c>
      <c r="H18" s="437">
        <f t="shared" si="7"/>
        <v>84471830</v>
      </c>
      <c r="I18" s="437">
        <f t="shared" si="7"/>
        <v>80918500</v>
      </c>
      <c r="J18" s="437">
        <f t="shared" si="7"/>
        <v>80918500</v>
      </c>
      <c r="K18" s="437">
        <f t="shared" si="7"/>
        <v>80918500</v>
      </c>
      <c r="L18" s="437">
        <f t="shared" si="7"/>
        <v>80918500</v>
      </c>
      <c r="M18" s="437">
        <f t="shared" si="7"/>
        <v>80918500</v>
      </c>
      <c r="N18" s="437">
        <f t="shared" si="7"/>
        <v>80918500</v>
      </c>
      <c r="O18" s="437">
        <f t="shared" si="7"/>
        <v>80918500</v>
      </c>
      <c r="P18" s="437">
        <f t="shared" si="7"/>
        <v>80918500</v>
      </c>
      <c r="Q18" s="437">
        <f t="shared" si="7"/>
        <v>80918500</v>
      </c>
      <c r="R18" s="437">
        <f t="shared" si="7"/>
        <v>80918500</v>
      </c>
      <c r="S18" s="437">
        <f t="shared" si="7"/>
        <v>80918500</v>
      </c>
      <c r="T18" s="437">
        <f t="shared" si="7"/>
        <v>80918500</v>
      </c>
      <c r="U18" s="437">
        <f t="shared" si="7"/>
        <v>80918500</v>
      </c>
      <c r="V18" s="437">
        <f t="shared" si="7"/>
        <v>80918500</v>
      </c>
      <c r="W18" s="437">
        <f t="shared" si="7"/>
        <v>86318500</v>
      </c>
      <c r="X18" s="437">
        <f t="shared" si="7"/>
        <v>86318500</v>
      </c>
      <c r="Y18" s="437">
        <f t="shared" si="7"/>
        <v>86318500</v>
      </c>
      <c r="Z18" s="437">
        <f t="shared" si="7"/>
        <v>86318500</v>
      </c>
      <c r="AA18" s="437">
        <f t="shared" si="7"/>
        <v>86318500</v>
      </c>
      <c r="AB18" s="437">
        <f t="shared" si="7"/>
        <v>83418500</v>
      </c>
      <c r="AC18" s="437">
        <f t="shared" si="7"/>
        <v>83418500</v>
      </c>
      <c r="AD18" s="437">
        <f t="shared" si="7"/>
        <v>83418500</v>
      </c>
      <c r="AE18" s="437">
        <f t="shared" si="7"/>
        <v>83418500</v>
      </c>
      <c r="AF18" s="437">
        <f t="shared" si="7"/>
        <v>83418500</v>
      </c>
      <c r="AG18" s="437">
        <f t="shared" si="7"/>
        <v>80918500</v>
      </c>
    </row>
    <row r="19" spans="2:33">
      <c r="B19" s="436" t="s">
        <v>56</v>
      </c>
      <c r="C19" s="439">
        <f t="shared" si="6"/>
        <v>216469320</v>
      </c>
      <c r="D19" s="435">
        <f>'03B PV nákup s proj. pomocné '!D95</f>
        <v>5106280</v>
      </c>
      <c r="E19" s="435">
        <f>'03B PV nákup s proj. pomocné '!E95</f>
        <v>5106280</v>
      </c>
      <c r="F19" s="435">
        <f>'03B PV nákup s proj. pomocné '!F95</f>
        <v>5147040</v>
      </c>
      <c r="G19" s="435">
        <f>'03B PV nákup s proj. pomocné '!G95</f>
        <v>5530400</v>
      </c>
      <c r="H19" s="435">
        <f>'03B PV nákup s proj. pomocné '!H95</f>
        <v>6804320</v>
      </c>
      <c r="I19" s="435">
        <f>'03B PV nákup s proj. pomocné '!I95</f>
        <v>7551000</v>
      </c>
      <c r="J19" s="435">
        <f>'03B PV nákup s proj. pomocné '!J95</f>
        <v>7551000</v>
      </c>
      <c r="K19" s="435">
        <f>'03B PV nákup s proj. pomocné '!K95</f>
        <v>7551000</v>
      </c>
      <c r="L19" s="435">
        <f>'03B PV nákup s proj. pomocné '!L95</f>
        <v>7551000</v>
      </c>
      <c r="M19" s="435">
        <f>'03B PV nákup s proj. pomocné '!M95</f>
        <v>7551000</v>
      </c>
      <c r="N19" s="435">
        <f>'03B PV nákup s proj. pomocné '!N95</f>
        <v>7551000</v>
      </c>
      <c r="O19" s="435">
        <f>'03B PV nákup s proj. pomocné '!O95</f>
        <v>7551000</v>
      </c>
      <c r="P19" s="435">
        <f>'03B PV nákup s proj. pomocné '!P95</f>
        <v>7551000</v>
      </c>
      <c r="Q19" s="435">
        <f>'03B PV nákup s proj. pomocné '!Q95</f>
        <v>7551000</v>
      </c>
      <c r="R19" s="435">
        <f>'03B PV nákup s proj. pomocné '!R95</f>
        <v>7551000</v>
      </c>
      <c r="S19" s="435">
        <f>'03B PV nákup s proj. pomocné '!S95</f>
        <v>7551000</v>
      </c>
      <c r="T19" s="435">
        <f>'03B PV nákup s proj. pomocné '!T95</f>
        <v>7551000</v>
      </c>
      <c r="U19" s="435">
        <f>'03B PV nákup s proj. pomocné '!U95</f>
        <v>7551000</v>
      </c>
      <c r="V19" s="435">
        <f>'03B PV nákup s proj. pomocné '!V95</f>
        <v>7551000</v>
      </c>
      <c r="W19" s="435">
        <f>'03B PV nákup s proj. pomocné '!W95</f>
        <v>7551000</v>
      </c>
      <c r="X19" s="435">
        <f>'03B PV nákup s proj. pomocné '!X95</f>
        <v>7551000</v>
      </c>
      <c r="Y19" s="435">
        <f>'03B PV nákup s proj. pomocné '!Y95</f>
        <v>7551000</v>
      </c>
      <c r="Z19" s="435">
        <f>'03B PV nákup s proj. pomocné '!Z95</f>
        <v>7551000</v>
      </c>
      <c r="AA19" s="435">
        <f>'03B PV nákup s proj. pomocné '!AA95</f>
        <v>7551000</v>
      </c>
      <c r="AB19" s="435">
        <f>'03B PV nákup s proj. pomocné '!AB95</f>
        <v>7551000</v>
      </c>
      <c r="AC19" s="435">
        <f>'03B PV nákup s proj. pomocné '!AC95</f>
        <v>7551000</v>
      </c>
      <c r="AD19" s="435">
        <f>'03B PV nákup s proj. pomocné '!AD95</f>
        <v>7551000</v>
      </c>
      <c r="AE19" s="435">
        <f>'03B PV nákup s proj. pomocné '!AE95</f>
        <v>7551000</v>
      </c>
      <c r="AF19" s="435">
        <f>'03B PV nákup s proj. pomocné '!AF95</f>
        <v>7551000</v>
      </c>
      <c r="AG19" s="435">
        <f>'03B PV nákup s proj. pomocné '!AG95</f>
        <v>7551000</v>
      </c>
    </row>
    <row r="20" spans="2:33" ht="12" thickBot="1">
      <c r="B20" s="434" t="s">
        <v>54</v>
      </c>
      <c r="C20" s="433">
        <f t="shared" si="6"/>
        <v>216469320</v>
      </c>
      <c r="D20" s="433">
        <f t="shared" ref="D20:AG20" si="8">SUM(D19:D19)</f>
        <v>5106280</v>
      </c>
      <c r="E20" s="433">
        <f t="shared" si="8"/>
        <v>5106280</v>
      </c>
      <c r="F20" s="433">
        <f t="shared" si="8"/>
        <v>5147040</v>
      </c>
      <c r="G20" s="433">
        <f t="shared" si="8"/>
        <v>5530400</v>
      </c>
      <c r="H20" s="433">
        <f t="shared" si="8"/>
        <v>6804320</v>
      </c>
      <c r="I20" s="433">
        <f t="shared" si="8"/>
        <v>7551000</v>
      </c>
      <c r="J20" s="433">
        <f t="shared" si="8"/>
        <v>7551000</v>
      </c>
      <c r="K20" s="433">
        <f t="shared" si="8"/>
        <v>7551000</v>
      </c>
      <c r="L20" s="433">
        <f t="shared" si="8"/>
        <v>7551000</v>
      </c>
      <c r="M20" s="433">
        <f t="shared" si="8"/>
        <v>7551000</v>
      </c>
      <c r="N20" s="433">
        <f t="shared" si="8"/>
        <v>7551000</v>
      </c>
      <c r="O20" s="433">
        <f t="shared" si="8"/>
        <v>7551000</v>
      </c>
      <c r="P20" s="433">
        <f t="shared" si="8"/>
        <v>7551000</v>
      </c>
      <c r="Q20" s="433">
        <f t="shared" si="8"/>
        <v>7551000</v>
      </c>
      <c r="R20" s="433">
        <f t="shared" si="8"/>
        <v>7551000</v>
      </c>
      <c r="S20" s="433">
        <f t="shared" si="8"/>
        <v>7551000</v>
      </c>
      <c r="T20" s="433">
        <f t="shared" si="8"/>
        <v>7551000</v>
      </c>
      <c r="U20" s="433">
        <f t="shared" si="8"/>
        <v>7551000</v>
      </c>
      <c r="V20" s="433">
        <f t="shared" si="8"/>
        <v>7551000</v>
      </c>
      <c r="W20" s="433">
        <f t="shared" si="8"/>
        <v>7551000</v>
      </c>
      <c r="X20" s="433">
        <f t="shared" si="8"/>
        <v>7551000</v>
      </c>
      <c r="Y20" s="433">
        <f t="shared" si="8"/>
        <v>7551000</v>
      </c>
      <c r="Z20" s="433">
        <f t="shared" si="8"/>
        <v>7551000</v>
      </c>
      <c r="AA20" s="433">
        <f t="shared" si="8"/>
        <v>7551000</v>
      </c>
      <c r="AB20" s="433">
        <f t="shared" si="8"/>
        <v>7551000</v>
      </c>
      <c r="AC20" s="433">
        <f t="shared" si="8"/>
        <v>7551000</v>
      </c>
      <c r="AD20" s="433">
        <f t="shared" si="8"/>
        <v>7551000</v>
      </c>
      <c r="AE20" s="433">
        <f t="shared" si="8"/>
        <v>7551000</v>
      </c>
      <c r="AF20" s="433">
        <f t="shared" si="8"/>
        <v>7551000</v>
      </c>
      <c r="AG20" s="433">
        <f t="shared" si="8"/>
        <v>7551000</v>
      </c>
    </row>
    <row r="21" spans="2:33" ht="12" thickTop="1">
      <c r="B21" s="431" t="s">
        <v>53</v>
      </c>
      <c r="C21" s="430">
        <f t="shared" si="6"/>
        <v>2707489970</v>
      </c>
      <c r="D21" s="430">
        <f t="shared" ref="D21:AG21" si="9">SUM(D18,D20)</f>
        <v>91455460</v>
      </c>
      <c r="E21" s="430">
        <f t="shared" si="9"/>
        <v>91455460</v>
      </c>
      <c r="F21" s="430">
        <f t="shared" si="9"/>
        <v>89931420</v>
      </c>
      <c r="G21" s="430">
        <f t="shared" si="9"/>
        <v>92133980</v>
      </c>
      <c r="H21" s="430">
        <f t="shared" si="9"/>
        <v>91276150</v>
      </c>
      <c r="I21" s="430">
        <f t="shared" si="9"/>
        <v>88469500</v>
      </c>
      <c r="J21" s="430">
        <f t="shared" si="9"/>
        <v>88469500</v>
      </c>
      <c r="K21" s="430">
        <f t="shared" si="9"/>
        <v>88469500</v>
      </c>
      <c r="L21" s="430">
        <f t="shared" si="9"/>
        <v>88469500</v>
      </c>
      <c r="M21" s="430">
        <f t="shared" si="9"/>
        <v>88469500</v>
      </c>
      <c r="N21" s="430">
        <f t="shared" si="9"/>
        <v>88469500</v>
      </c>
      <c r="O21" s="430">
        <f t="shared" si="9"/>
        <v>88469500</v>
      </c>
      <c r="P21" s="430">
        <f t="shared" si="9"/>
        <v>88469500</v>
      </c>
      <c r="Q21" s="430">
        <f t="shared" si="9"/>
        <v>88469500</v>
      </c>
      <c r="R21" s="430">
        <f t="shared" si="9"/>
        <v>88469500</v>
      </c>
      <c r="S21" s="430">
        <f t="shared" si="9"/>
        <v>88469500</v>
      </c>
      <c r="T21" s="430">
        <f t="shared" si="9"/>
        <v>88469500</v>
      </c>
      <c r="U21" s="430">
        <f t="shared" si="9"/>
        <v>88469500</v>
      </c>
      <c r="V21" s="430">
        <f t="shared" si="9"/>
        <v>88469500</v>
      </c>
      <c r="W21" s="430">
        <f t="shared" si="9"/>
        <v>93869500</v>
      </c>
      <c r="X21" s="430">
        <f t="shared" si="9"/>
        <v>93869500</v>
      </c>
      <c r="Y21" s="430">
        <f t="shared" si="9"/>
        <v>93869500</v>
      </c>
      <c r="Z21" s="430">
        <f t="shared" si="9"/>
        <v>93869500</v>
      </c>
      <c r="AA21" s="430">
        <f t="shared" si="9"/>
        <v>93869500</v>
      </c>
      <c r="AB21" s="430">
        <f t="shared" si="9"/>
        <v>90969500</v>
      </c>
      <c r="AC21" s="430">
        <f t="shared" si="9"/>
        <v>90969500</v>
      </c>
      <c r="AD21" s="430">
        <f t="shared" si="9"/>
        <v>90969500</v>
      </c>
      <c r="AE21" s="430">
        <f t="shared" si="9"/>
        <v>90969500</v>
      </c>
      <c r="AF21" s="430">
        <f t="shared" si="9"/>
        <v>90969500</v>
      </c>
      <c r="AG21" s="430">
        <f t="shared" si="9"/>
        <v>88469500</v>
      </c>
    </row>
    <row r="24" spans="2:33">
      <c r="C24" s="436"/>
      <c r="D24" s="436" t="s">
        <v>10</v>
      </c>
      <c r="E24" s="436"/>
      <c r="F24" s="436"/>
      <c r="G24" s="436"/>
      <c r="H24" s="436"/>
      <c r="I24" s="436"/>
      <c r="J24" s="436"/>
      <c r="K24" s="436"/>
      <c r="L24" s="436"/>
      <c r="M24" s="436"/>
      <c r="N24" s="436"/>
      <c r="O24" s="436"/>
      <c r="P24" s="436"/>
      <c r="Q24" s="436"/>
      <c r="R24" s="436"/>
      <c r="S24" s="436"/>
      <c r="T24" s="436"/>
      <c r="U24" s="436"/>
      <c r="V24" s="436"/>
      <c r="W24" s="436"/>
      <c r="X24" s="436"/>
      <c r="Y24" s="436"/>
      <c r="Z24" s="436"/>
      <c r="AA24" s="436"/>
      <c r="AB24" s="436"/>
      <c r="AC24" s="436"/>
      <c r="AD24" s="436"/>
      <c r="AE24" s="436"/>
      <c r="AF24" s="436"/>
      <c r="AG24" s="436"/>
    </row>
    <row r="25" spans="2:33">
      <c r="B25" s="438" t="s">
        <v>58</v>
      </c>
      <c r="C25" s="438"/>
      <c r="D25" s="436">
        <v>1</v>
      </c>
      <c r="E25" s="436">
        <v>2</v>
      </c>
      <c r="F25" s="436">
        <v>3</v>
      </c>
      <c r="G25" s="436">
        <v>4</v>
      </c>
      <c r="H25" s="436">
        <v>5</v>
      </c>
      <c r="I25" s="436">
        <v>6</v>
      </c>
      <c r="J25" s="436">
        <v>7</v>
      </c>
      <c r="K25" s="436">
        <v>8</v>
      </c>
      <c r="L25" s="436">
        <v>9</v>
      </c>
      <c r="M25" s="436">
        <v>10</v>
      </c>
      <c r="N25" s="436">
        <v>11</v>
      </c>
      <c r="O25" s="436">
        <v>12</v>
      </c>
      <c r="P25" s="436">
        <v>13</v>
      </c>
      <c r="Q25" s="436">
        <v>14</v>
      </c>
      <c r="R25" s="436">
        <v>15</v>
      </c>
      <c r="S25" s="436">
        <v>16</v>
      </c>
      <c r="T25" s="436">
        <v>17</v>
      </c>
      <c r="U25" s="436">
        <v>18</v>
      </c>
      <c r="V25" s="436">
        <v>19</v>
      </c>
      <c r="W25" s="436">
        <v>20</v>
      </c>
      <c r="X25" s="436">
        <v>21</v>
      </c>
      <c r="Y25" s="436">
        <v>22</v>
      </c>
      <c r="Z25" s="436">
        <v>23</v>
      </c>
      <c r="AA25" s="436">
        <v>24</v>
      </c>
      <c r="AB25" s="436">
        <v>25</v>
      </c>
      <c r="AC25" s="436">
        <v>26</v>
      </c>
      <c r="AD25" s="436">
        <v>27</v>
      </c>
      <c r="AE25" s="436">
        <v>28</v>
      </c>
      <c r="AF25" s="436">
        <v>29</v>
      </c>
      <c r="AG25" s="436">
        <v>30</v>
      </c>
    </row>
    <row r="26" spans="2:33">
      <c r="B26" s="556" t="s">
        <v>41</v>
      </c>
      <c r="C26" s="556" t="s">
        <v>9</v>
      </c>
      <c r="D26" s="557">
        <f t="shared" ref="D26:AG26" si="10">D4</f>
        <v>2023</v>
      </c>
      <c r="E26" s="557">
        <f t="shared" si="10"/>
        <v>2024</v>
      </c>
      <c r="F26" s="557">
        <f t="shared" si="10"/>
        <v>2025</v>
      </c>
      <c r="G26" s="557">
        <f t="shared" si="10"/>
        <v>2026</v>
      </c>
      <c r="H26" s="557">
        <f t="shared" si="10"/>
        <v>2027</v>
      </c>
      <c r="I26" s="557">
        <f t="shared" si="10"/>
        <v>2028</v>
      </c>
      <c r="J26" s="557">
        <f t="shared" si="10"/>
        <v>2029</v>
      </c>
      <c r="K26" s="557">
        <f t="shared" si="10"/>
        <v>2030</v>
      </c>
      <c r="L26" s="557">
        <f t="shared" si="10"/>
        <v>2031</v>
      </c>
      <c r="M26" s="557">
        <f t="shared" si="10"/>
        <v>2032</v>
      </c>
      <c r="N26" s="557">
        <f t="shared" si="10"/>
        <v>2033</v>
      </c>
      <c r="O26" s="557">
        <f t="shared" si="10"/>
        <v>2034</v>
      </c>
      <c r="P26" s="557">
        <f t="shared" si="10"/>
        <v>2035</v>
      </c>
      <c r="Q26" s="557">
        <f t="shared" si="10"/>
        <v>2036</v>
      </c>
      <c r="R26" s="557">
        <f t="shared" si="10"/>
        <v>2037</v>
      </c>
      <c r="S26" s="557">
        <f t="shared" si="10"/>
        <v>2038</v>
      </c>
      <c r="T26" s="557">
        <f t="shared" si="10"/>
        <v>2039</v>
      </c>
      <c r="U26" s="557">
        <f t="shared" si="10"/>
        <v>2040</v>
      </c>
      <c r="V26" s="557">
        <f t="shared" si="10"/>
        <v>2041</v>
      </c>
      <c r="W26" s="557">
        <f t="shared" si="10"/>
        <v>2042</v>
      </c>
      <c r="X26" s="557">
        <f t="shared" si="10"/>
        <v>2043</v>
      </c>
      <c r="Y26" s="557">
        <f t="shared" si="10"/>
        <v>2044</v>
      </c>
      <c r="Z26" s="557">
        <f t="shared" si="10"/>
        <v>2045</v>
      </c>
      <c r="AA26" s="557">
        <f t="shared" si="10"/>
        <v>2046</v>
      </c>
      <c r="AB26" s="557">
        <f t="shared" si="10"/>
        <v>2047</v>
      </c>
      <c r="AC26" s="557">
        <f t="shared" si="10"/>
        <v>2048</v>
      </c>
      <c r="AD26" s="557">
        <f t="shared" si="10"/>
        <v>2049</v>
      </c>
      <c r="AE26" s="557">
        <f t="shared" si="10"/>
        <v>2050</v>
      </c>
      <c r="AF26" s="557">
        <f t="shared" si="10"/>
        <v>2051</v>
      </c>
      <c r="AG26" s="557">
        <f t="shared" si="10"/>
        <v>2052</v>
      </c>
    </row>
    <row r="27" spans="2:33">
      <c r="B27" s="436" t="s">
        <v>353</v>
      </c>
      <c r="C27" s="439">
        <f t="shared" ref="C27:C32" si="11">SUM(D27:AG27)</f>
        <v>-138954750</v>
      </c>
      <c r="D27" s="439">
        <f t="shared" ref="D27:AG28" si="12">D16-D5</f>
        <v>0</v>
      </c>
      <c r="E27" s="439">
        <f t="shared" si="12"/>
        <v>0</v>
      </c>
      <c r="F27" s="439">
        <f t="shared" si="12"/>
        <v>-1564800</v>
      </c>
      <c r="G27" s="439">
        <f t="shared" si="12"/>
        <v>254400</v>
      </c>
      <c r="H27" s="439">
        <f t="shared" si="12"/>
        <v>-1877350</v>
      </c>
      <c r="I27" s="439">
        <f t="shared" si="12"/>
        <v>-5430680</v>
      </c>
      <c r="J27" s="439">
        <f t="shared" si="12"/>
        <v>-5430680</v>
      </c>
      <c r="K27" s="439">
        <f t="shared" si="12"/>
        <v>-5430680</v>
      </c>
      <c r="L27" s="439">
        <f t="shared" si="12"/>
        <v>-5430680</v>
      </c>
      <c r="M27" s="439">
        <f t="shared" si="12"/>
        <v>-5430680</v>
      </c>
      <c r="N27" s="439">
        <f t="shared" si="12"/>
        <v>-5430680</v>
      </c>
      <c r="O27" s="439">
        <f t="shared" si="12"/>
        <v>-5430680</v>
      </c>
      <c r="P27" s="439">
        <f t="shared" si="12"/>
        <v>-5430680</v>
      </c>
      <c r="Q27" s="439">
        <f t="shared" si="12"/>
        <v>-5430680</v>
      </c>
      <c r="R27" s="439">
        <f t="shared" si="12"/>
        <v>-5430680</v>
      </c>
      <c r="S27" s="439">
        <f t="shared" si="12"/>
        <v>-5430680</v>
      </c>
      <c r="T27" s="439">
        <f t="shared" si="12"/>
        <v>-5430680</v>
      </c>
      <c r="U27" s="439">
        <f t="shared" si="12"/>
        <v>-5430680</v>
      </c>
      <c r="V27" s="439">
        <f t="shared" si="12"/>
        <v>-5430680</v>
      </c>
      <c r="W27" s="439">
        <f t="shared" si="12"/>
        <v>-5430680</v>
      </c>
      <c r="X27" s="439">
        <f t="shared" si="12"/>
        <v>-5430680</v>
      </c>
      <c r="Y27" s="439">
        <f t="shared" si="12"/>
        <v>-5430680</v>
      </c>
      <c r="Z27" s="439">
        <f t="shared" si="12"/>
        <v>-5430680</v>
      </c>
      <c r="AA27" s="439">
        <f t="shared" si="12"/>
        <v>-5430680</v>
      </c>
      <c r="AB27" s="439">
        <f t="shared" si="12"/>
        <v>-5430680</v>
      </c>
      <c r="AC27" s="439">
        <f t="shared" si="12"/>
        <v>-5430680</v>
      </c>
      <c r="AD27" s="439">
        <f t="shared" si="12"/>
        <v>-5430680</v>
      </c>
      <c r="AE27" s="439">
        <f t="shared" si="12"/>
        <v>-5430680</v>
      </c>
      <c r="AF27" s="439">
        <f t="shared" si="12"/>
        <v>-5430680</v>
      </c>
      <c r="AG27" s="439">
        <f t="shared" si="12"/>
        <v>-5430680</v>
      </c>
    </row>
    <row r="28" spans="2:33">
      <c r="B28" s="436" t="s">
        <v>351</v>
      </c>
      <c r="C28" s="439">
        <f t="shared" si="11"/>
        <v>-467000000</v>
      </c>
      <c r="D28" s="439">
        <f t="shared" si="12"/>
        <v>0</v>
      </c>
      <c r="E28" s="439">
        <f t="shared" si="12"/>
        <v>0</v>
      </c>
      <c r="F28" s="439">
        <f t="shared" si="12"/>
        <v>0</v>
      </c>
      <c r="G28" s="439">
        <f t="shared" si="12"/>
        <v>-67000000</v>
      </c>
      <c r="H28" s="439">
        <f t="shared" si="12"/>
        <v>-111500000</v>
      </c>
      <c r="I28" s="439">
        <f t="shared" si="12"/>
        <v>-111500000</v>
      </c>
      <c r="J28" s="439">
        <f t="shared" si="12"/>
        <v>-111500000</v>
      </c>
      <c r="K28" s="439">
        <f t="shared" si="12"/>
        <v>0</v>
      </c>
      <c r="L28" s="439">
        <f t="shared" si="12"/>
        <v>0</v>
      </c>
      <c r="M28" s="439">
        <f t="shared" si="12"/>
        <v>0</v>
      </c>
      <c r="N28" s="439">
        <f t="shared" si="12"/>
        <v>0</v>
      </c>
      <c r="O28" s="439">
        <f t="shared" si="12"/>
        <v>0</v>
      </c>
      <c r="P28" s="439">
        <f t="shared" si="12"/>
        <v>0</v>
      </c>
      <c r="Q28" s="439">
        <f t="shared" si="12"/>
        <v>0</v>
      </c>
      <c r="R28" s="439">
        <f t="shared" si="12"/>
        <v>0</v>
      </c>
      <c r="S28" s="439">
        <f t="shared" si="12"/>
        <v>0</v>
      </c>
      <c r="T28" s="439">
        <f t="shared" si="12"/>
        <v>0</v>
      </c>
      <c r="U28" s="439">
        <f t="shared" si="12"/>
        <v>0</v>
      </c>
      <c r="V28" s="439">
        <f t="shared" si="12"/>
        <v>-18000000</v>
      </c>
      <c r="W28" s="439">
        <f t="shared" si="12"/>
        <v>-23600000</v>
      </c>
      <c r="X28" s="439">
        <f t="shared" si="12"/>
        <v>-23600000</v>
      </c>
      <c r="Y28" s="439">
        <f t="shared" si="12"/>
        <v>-23600000</v>
      </c>
      <c r="Z28" s="439">
        <f t="shared" si="12"/>
        <v>5400000</v>
      </c>
      <c r="AA28" s="439">
        <f t="shared" si="12"/>
        <v>5400000</v>
      </c>
      <c r="AB28" s="439">
        <f t="shared" si="12"/>
        <v>2500000</v>
      </c>
      <c r="AC28" s="439">
        <f t="shared" si="12"/>
        <v>2500000</v>
      </c>
      <c r="AD28" s="439">
        <f t="shared" si="12"/>
        <v>2500000</v>
      </c>
      <c r="AE28" s="439">
        <f t="shared" si="12"/>
        <v>2500000</v>
      </c>
      <c r="AF28" s="439">
        <f t="shared" si="12"/>
        <v>2500000</v>
      </c>
      <c r="AG28" s="439">
        <f t="shared" si="12"/>
        <v>0</v>
      </c>
    </row>
    <row r="29" spans="2:33">
      <c r="B29" s="438" t="s">
        <v>350</v>
      </c>
      <c r="C29" s="437">
        <f t="shared" si="11"/>
        <v>-605954750</v>
      </c>
      <c r="D29" s="437">
        <f t="shared" ref="D29:AG29" si="13">SUM(D27:D28)</f>
        <v>0</v>
      </c>
      <c r="E29" s="437">
        <f t="shared" si="13"/>
        <v>0</v>
      </c>
      <c r="F29" s="437">
        <f t="shared" si="13"/>
        <v>-1564800</v>
      </c>
      <c r="G29" s="437">
        <f t="shared" si="13"/>
        <v>-66745600</v>
      </c>
      <c r="H29" s="437">
        <f t="shared" si="13"/>
        <v>-113377350</v>
      </c>
      <c r="I29" s="437">
        <f t="shared" si="13"/>
        <v>-116930680</v>
      </c>
      <c r="J29" s="437">
        <f t="shared" si="13"/>
        <v>-116930680</v>
      </c>
      <c r="K29" s="437">
        <f t="shared" si="13"/>
        <v>-5430680</v>
      </c>
      <c r="L29" s="437">
        <f t="shared" si="13"/>
        <v>-5430680</v>
      </c>
      <c r="M29" s="437">
        <f t="shared" si="13"/>
        <v>-5430680</v>
      </c>
      <c r="N29" s="437">
        <f t="shared" si="13"/>
        <v>-5430680</v>
      </c>
      <c r="O29" s="437">
        <f t="shared" si="13"/>
        <v>-5430680</v>
      </c>
      <c r="P29" s="437">
        <f t="shared" si="13"/>
        <v>-5430680</v>
      </c>
      <c r="Q29" s="437">
        <f t="shared" si="13"/>
        <v>-5430680</v>
      </c>
      <c r="R29" s="437">
        <f t="shared" si="13"/>
        <v>-5430680</v>
      </c>
      <c r="S29" s="437">
        <f t="shared" si="13"/>
        <v>-5430680</v>
      </c>
      <c r="T29" s="437">
        <f t="shared" si="13"/>
        <v>-5430680</v>
      </c>
      <c r="U29" s="437">
        <f t="shared" si="13"/>
        <v>-5430680</v>
      </c>
      <c r="V29" s="437">
        <f t="shared" si="13"/>
        <v>-23430680</v>
      </c>
      <c r="W29" s="437">
        <f t="shared" si="13"/>
        <v>-29030680</v>
      </c>
      <c r="X29" s="437">
        <f t="shared" si="13"/>
        <v>-29030680</v>
      </c>
      <c r="Y29" s="437">
        <f t="shared" si="13"/>
        <v>-29030680</v>
      </c>
      <c r="Z29" s="437">
        <f t="shared" si="13"/>
        <v>-30680</v>
      </c>
      <c r="AA29" s="437">
        <f t="shared" si="13"/>
        <v>-30680</v>
      </c>
      <c r="AB29" s="437">
        <f t="shared" si="13"/>
        <v>-2930680</v>
      </c>
      <c r="AC29" s="437">
        <f t="shared" si="13"/>
        <v>-2930680</v>
      </c>
      <c r="AD29" s="437">
        <f t="shared" si="13"/>
        <v>-2930680</v>
      </c>
      <c r="AE29" s="437">
        <f t="shared" si="13"/>
        <v>-2930680</v>
      </c>
      <c r="AF29" s="437">
        <f t="shared" si="13"/>
        <v>-2930680</v>
      </c>
      <c r="AG29" s="437">
        <f t="shared" si="13"/>
        <v>-5430680</v>
      </c>
    </row>
    <row r="30" spans="2:33">
      <c r="B30" s="436" t="s">
        <v>56</v>
      </c>
      <c r="C30" s="439">
        <f t="shared" si="11"/>
        <v>63280920</v>
      </c>
      <c r="D30" s="439">
        <f t="shared" ref="D30:AG30" si="14">D19-D8</f>
        <v>0</v>
      </c>
      <c r="E30" s="439">
        <f t="shared" si="14"/>
        <v>0</v>
      </c>
      <c r="F30" s="439">
        <f t="shared" si="14"/>
        <v>40760</v>
      </c>
      <c r="G30" s="439">
        <f t="shared" si="14"/>
        <v>424120</v>
      </c>
      <c r="H30" s="439">
        <f t="shared" si="14"/>
        <v>1698040</v>
      </c>
      <c r="I30" s="439">
        <f t="shared" si="14"/>
        <v>2444720</v>
      </c>
      <c r="J30" s="439">
        <f t="shared" si="14"/>
        <v>2444720</v>
      </c>
      <c r="K30" s="439">
        <f t="shared" si="14"/>
        <v>2444720</v>
      </c>
      <c r="L30" s="439">
        <f t="shared" si="14"/>
        <v>2444720</v>
      </c>
      <c r="M30" s="439">
        <f t="shared" si="14"/>
        <v>2444720</v>
      </c>
      <c r="N30" s="439">
        <f t="shared" si="14"/>
        <v>2444720</v>
      </c>
      <c r="O30" s="439">
        <f t="shared" si="14"/>
        <v>2444720</v>
      </c>
      <c r="P30" s="439">
        <f t="shared" si="14"/>
        <v>2444720</v>
      </c>
      <c r="Q30" s="439">
        <f t="shared" si="14"/>
        <v>2444720</v>
      </c>
      <c r="R30" s="439">
        <f t="shared" si="14"/>
        <v>2444720</v>
      </c>
      <c r="S30" s="439">
        <f t="shared" si="14"/>
        <v>2444720</v>
      </c>
      <c r="T30" s="439">
        <f t="shared" si="14"/>
        <v>2444720</v>
      </c>
      <c r="U30" s="439">
        <f t="shared" si="14"/>
        <v>2444720</v>
      </c>
      <c r="V30" s="439">
        <f t="shared" si="14"/>
        <v>2444720</v>
      </c>
      <c r="W30" s="439">
        <f t="shared" si="14"/>
        <v>2444720</v>
      </c>
      <c r="X30" s="439">
        <f t="shared" si="14"/>
        <v>2444720</v>
      </c>
      <c r="Y30" s="439">
        <f t="shared" si="14"/>
        <v>2444720</v>
      </c>
      <c r="Z30" s="439">
        <f t="shared" si="14"/>
        <v>2444720</v>
      </c>
      <c r="AA30" s="439">
        <f t="shared" si="14"/>
        <v>2444720</v>
      </c>
      <c r="AB30" s="439">
        <f t="shared" si="14"/>
        <v>2444720</v>
      </c>
      <c r="AC30" s="439">
        <f t="shared" si="14"/>
        <v>2444720</v>
      </c>
      <c r="AD30" s="439">
        <f t="shared" si="14"/>
        <v>2444720</v>
      </c>
      <c r="AE30" s="439">
        <f t="shared" si="14"/>
        <v>2444720</v>
      </c>
      <c r="AF30" s="439">
        <f t="shared" si="14"/>
        <v>2444720</v>
      </c>
      <c r="AG30" s="439">
        <f t="shared" si="14"/>
        <v>2444720</v>
      </c>
    </row>
    <row r="31" spans="2:33" ht="12" thickBot="1">
      <c r="B31" s="434" t="s">
        <v>54</v>
      </c>
      <c r="C31" s="433">
        <f t="shared" si="11"/>
        <v>63280920</v>
      </c>
      <c r="D31" s="433">
        <f t="shared" ref="D31:AG31" si="15">SUM(D30:D30)</f>
        <v>0</v>
      </c>
      <c r="E31" s="433">
        <f t="shared" si="15"/>
        <v>0</v>
      </c>
      <c r="F31" s="433">
        <f t="shared" si="15"/>
        <v>40760</v>
      </c>
      <c r="G31" s="433">
        <f t="shared" si="15"/>
        <v>424120</v>
      </c>
      <c r="H31" s="433">
        <f t="shared" si="15"/>
        <v>1698040</v>
      </c>
      <c r="I31" s="433">
        <f t="shared" si="15"/>
        <v>2444720</v>
      </c>
      <c r="J31" s="433">
        <f t="shared" si="15"/>
        <v>2444720</v>
      </c>
      <c r="K31" s="433">
        <f t="shared" si="15"/>
        <v>2444720</v>
      </c>
      <c r="L31" s="433">
        <f t="shared" si="15"/>
        <v>2444720</v>
      </c>
      <c r="M31" s="433">
        <f t="shared" si="15"/>
        <v>2444720</v>
      </c>
      <c r="N31" s="433">
        <f t="shared" si="15"/>
        <v>2444720</v>
      </c>
      <c r="O31" s="433">
        <f t="shared" si="15"/>
        <v>2444720</v>
      </c>
      <c r="P31" s="433">
        <f t="shared" si="15"/>
        <v>2444720</v>
      </c>
      <c r="Q31" s="433">
        <f t="shared" si="15"/>
        <v>2444720</v>
      </c>
      <c r="R31" s="433">
        <f t="shared" si="15"/>
        <v>2444720</v>
      </c>
      <c r="S31" s="433">
        <f t="shared" si="15"/>
        <v>2444720</v>
      </c>
      <c r="T31" s="433">
        <f t="shared" si="15"/>
        <v>2444720</v>
      </c>
      <c r="U31" s="433">
        <f t="shared" si="15"/>
        <v>2444720</v>
      </c>
      <c r="V31" s="433">
        <f t="shared" si="15"/>
        <v>2444720</v>
      </c>
      <c r="W31" s="433">
        <f t="shared" si="15"/>
        <v>2444720</v>
      </c>
      <c r="X31" s="433">
        <f t="shared" si="15"/>
        <v>2444720</v>
      </c>
      <c r="Y31" s="433">
        <f t="shared" si="15"/>
        <v>2444720</v>
      </c>
      <c r="Z31" s="433">
        <f t="shared" si="15"/>
        <v>2444720</v>
      </c>
      <c r="AA31" s="433">
        <f t="shared" si="15"/>
        <v>2444720</v>
      </c>
      <c r="AB31" s="433">
        <f t="shared" si="15"/>
        <v>2444720</v>
      </c>
      <c r="AC31" s="433">
        <f t="shared" si="15"/>
        <v>2444720</v>
      </c>
      <c r="AD31" s="433">
        <f t="shared" si="15"/>
        <v>2444720</v>
      </c>
      <c r="AE31" s="433">
        <f t="shared" si="15"/>
        <v>2444720</v>
      </c>
      <c r="AF31" s="433">
        <f t="shared" si="15"/>
        <v>2444720</v>
      </c>
      <c r="AG31" s="433">
        <f t="shared" si="15"/>
        <v>2444720</v>
      </c>
    </row>
    <row r="32" spans="2:33" ht="12" thickTop="1">
      <c r="B32" s="431" t="s">
        <v>53</v>
      </c>
      <c r="C32" s="430">
        <f t="shared" si="11"/>
        <v>-542673830</v>
      </c>
      <c r="D32" s="430">
        <f t="shared" ref="D32:AG32" si="16">SUM(D29,D31)</f>
        <v>0</v>
      </c>
      <c r="E32" s="430">
        <f t="shared" si="16"/>
        <v>0</v>
      </c>
      <c r="F32" s="430">
        <f t="shared" si="16"/>
        <v>-1524040</v>
      </c>
      <c r="G32" s="430">
        <f t="shared" si="16"/>
        <v>-66321480</v>
      </c>
      <c r="H32" s="430">
        <f t="shared" si="16"/>
        <v>-111679310</v>
      </c>
      <c r="I32" s="430">
        <f t="shared" si="16"/>
        <v>-114485960</v>
      </c>
      <c r="J32" s="430">
        <f t="shared" si="16"/>
        <v>-114485960</v>
      </c>
      <c r="K32" s="430">
        <f t="shared" si="16"/>
        <v>-2985960</v>
      </c>
      <c r="L32" s="430">
        <f t="shared" si="16"/>
        <v>-2985960</v>
      </c>
      <c r="M32" s="430">
        <f t="shared" si="16"/>
        <v>-2985960</v>
      </c>
      <c r="N32" s="430">
        <f t="shared" si="16"/>
        <v>-2985960</v>
      </c>
      <c r="O32" s="430">
        <f t="shared" si="16"/>
        <v>-2985960</v>
      </c>
      <c r="P32" s="430">
        <f t="shared" si="16"/>
        <v>-2985960</v>
      </c>
      <c r="Q32" s="430">
        <f t="shared" si="16"/>
        <v>-2985960</v>
      </c>
      <c r="R32" s="430">
        <f t="shared" si="16"/>
        <v>-2985960</v>
      </c>
      <c r="S32" s="430">
        <f t="shared" si="16"/>
        <v>-2985960</v>
      </c>
      <c r="T32" s="430">
        <f t="shared" si="16"/>
        <v>-2985960</v>
      </c>
      <c r="U32" s="430">
        <f t="shared" si="16"/>
        <v>-2985960</v>
      </c>
      <c r="V32" s="430">
        <f t="shared" si="16"/>
        <v>-20985960</v>
      </c>
      <c r="W32" s="430">
        <f t="shared" si="16"/>
        <v>-26585960</v>
      </c>
      <c r="X32" s="430">
        <f t="shared" si="16"/>
        <v>-26585960</v>
      </c>
      <c r="Y32" s="430">
        <f t="shared" si="16"/>
        <v>-26585960</v>
      </c>
      <c r="Z32" s="430">
        <f t="shared" si="16"/>
        <v>2414040</v>
      </c>
      <c r="AA32" s="430">
        <f t="shared" si="16"/>
        <v>2414040</v>
      </c>
      <c r="AB32" s="430">
        <f t="shared" si="16"/>
        <v>-485960</v>
      </c>
      <c r="AC32" s="430">
        <f t="shared" si="16"/>
        <v>-485960</v>
      </c>
      <c r="AD32" s="430">
        <f t="shared" si="16"/>
        <v>-485960</v>
      </c>
      <c r="AE32" s="430">
        <f t="shared" si="16"/>
        <v>-485960</v>
      </c>
      <c r="AF32" s="430">
        <f t="shared" si="16"/>
        <v>-485960</v>
      </c>
      <c r="AG32" s="430">
        <f t="shared" si="16"/>
        <v>-2985960</v>
      </c>
    </row>
    <row r="35" spans="2:33">
      <c r="C35" s="436"/>
      <c r="D35" s="436" t="s">
        <v>10</v>
      </c>
      <c r="E35" s="436"/>
      <c r="F35" s="436"/>
      <c r="G35" s="436"/>
      <c r="H35" s="436"/>
      <c r="I35" s="436"/>
      <c r="J35" s="436"/>
      <c r="K35" s="436"/>
      <c r="L35" s="436"/>
      <c r="M35" s="436"/>
      <c r="N35" s="436"/>
      <c r="O35" s="436"/>
      <c r="P35" s="436"/>
      <c r="Q35" s="436"/>
      <c r="R35" s="436"/>
      <c r="S35" s="436"/>
      <c r="T35" s="436"/>
      <c r="U35" s="436"/>
      <c r="V35" s="436"/>
      <c r="W35" s="436"/>
      <c r="X35" s="436"/>
      <c r="Y35" s="436"/>
      <c r="Z35" s="436"/>
      <c r="AA35" s="436"/>
      <c r="AB35" s="436"/>
      <c r="AC35" s="436"/>
      <c r="AD35" s="436"/>
      <c r="AE35" s="436"/>
      <c r="AF35" s="436"/>
      <c r="AG35" s="436"/>
    </row>
    <row r="36" spans="2:33">
      <c r="B36" s="438" t="s">
        <v>228</v>
      </c>
      <c r="C36" s="438"/>
      <c r="D36" s="436">
        <v>1</v>
      </c>
      <c r="E36" s="436">
        <v>2</v>
      </c>
      <c r="F36" s="436">
        <v>3</v>
      </c>
      <c r="G36" s="436">
        <v>4</v>
      </c>
      <c r="H36" s="436">
        <v>5</v>
      </c>
      <c r="I36" s="436">
        <v>6</v>
      </c>
      <c r="J36" s="436">
        <v>7</v>
      </c>
      <c r="K36" s="436">
        <v>8</v>
      </c>
      <c r="L36" s="436">
        <v>9</v>
      </c>
      <c r="M36" s="436">
        <v>10</v>
      </c>
      <c r="N36" s="436">
        <v>11</v>
      </c>
      <c r="O36" s="436">
        <v>12</v>
      </c>
      <c r="P36" s="436">
        <v>13</v>
      </c>
      <c r="Q36" s="436">
        <v>14</v>
      </c>
      <c r="R36" s="436">
        <v>15</v>
      </c>
      <c r="S36" s="436">
        <v>16</v>
      </c>
      <c r="T36" s="436">
        <v>17</v>
      </c>
      <c r="U36" s="436">
        <v>18</v>
      </c>
      <c r="V36" s="436">
        <v>19</v>
      </c>
      <c r="W36" s="436">
        <v>20</v>
      </c>
      <c r="X36" s="436">
        <v>21</v>
      </c>
      <c r="Y36" s="436">
        <v>22</v>
      </c>
      <c r="Z36" s="436">
        <v>23</v>
      </c>
      <c r="AA36" s="436">
        <v>24</v>
      </c>
      <c r="AB36" s="436">
        <v>25</v>
      </c>
      <c r="AC36" s="436">
        <v>26</v>
      </c>
      <c r="AD36" s="436">
        <v>27</v>
      </c>
      <c r="AE36" s="436">
        <v>28</v>
      </c>
      <c r="AF36" s="436">
        <v>29</v>
      </c>
      <c r="AG36" s="436">
        <v>30</v>
      </c>
    </row>
    <row r="37" spans="2:33">
      <c r="B37" s="556" t="s">
        <v>41</v>
      </c>
      <c r="C37" s="556" t="s">
        <v>9</v>
      </c>
      <c r="D37" s="557">
        <f t="shared" ref="D37:AG37" si="17">D4</f>
        <v>2023</v>
      </c>
      <c r="E37" s="557">
        <f t="shared" si="17"/>
        <v>2024</v>
      </c>
      <c r="F37" s="557">
        <f t="shared" si="17"/>
        <v>2025</v>
      </c>
      <c r="G37" s="557">
        <f t="shared" si="17"/>
        <v>2026</v>
      </c>
      <c r="H37" s="557">
        <f t="shared" si="17"/>
        <v>2027</v>
      </c>
      <c r="I37" s="557">
        <f t="shared" si="17"/>
        <v>2028</v>
      </c>
      <c r="J37" s="557">
        <f t="shared" si="17"/>
        <v>2029</v>
      </c>
      <c r="K37" s="557">
        <f t="shared" si="17"/>
        <v>2030</v>
      </c>
      <c r="L37" s="557">
        <f t="shared" si="17"/>
        <v>2031</v>
      </c>
      <c r="M37" s="557">
        <f t="shared" si="17"/>
        <v>2032</v>
      </c>
      <c r="N37" s="557">
        <f t="shared" si="17"/>
        <v>2033</v>
      </c>
      <c r="O37" s="557">
        <f t="shared" si="17"/>
        <v>2034</v>
      </c>
      <c r="P37" s="557">
        <f t="shared" si="17"/>
        <v>2035</v>
      </c>
      <c r="Q37" s="557">
        <f t="shared" si="17"/>
        <v>2036</v>
      </c>
      <c r="R37" s="557">
        <f t="shared" si="17"/>
        <v>2037</v>
      </c>
      <c r="S37" s="557">
        <f t="shared" si="17"/>
        <v>2038</v>
      </c>
      <c r="T37" s="557">
        <f t="shared" si="17"/>
        <v>2039</v>
      </c>
      <c r="U37" s="557">
        <f t="shared" si="17"/>
        <v>2040</v>
      </c>
      <c r="V37" s="557">
        <f t="shared" si="17"/>
        <v>2041</v>
      </c>
      <c r="W37" s="557">
        <f t="shared" si="17"/>
        <v>2042</v>
      </c>
      <c r="X37" s="557">
        <f t="shared" si="17"/>
        <v>2043</v>
      </c>
      <c r="Y37" s="557">
        <f t="shared" si="17"/>
        <v>2044</v>
      </c>
      <c r="Z37" s="557">
        <f t="shared" si="17"/>
        <v>2045</v>
      </c>
      <c r="AA37" s="557">
        <f t="shared" si="17"/>
        <v>2046</v>
      </c>
      <c r="AB37" s="557">
        <f t="shared" si="17"/>
        <v>2047</v>
      </c>
      <c r="AC37" s="557">
        <f t="shared" si="17"/>
        <v>2048</v>
      </c>
      <c r="AD37" s="557">
        <f t="shared" si="17"/>
        <v>2049</v>
      </c>
      <c r="AE37" s="557">
        <f t="shared" si="17"/>
        <v>2050</v>
      </c>
      <c r="AF37" s="557">
        <f t="shared" si="17"/>
        <v>2051</v>
      </c>
      <c r="AG37" s="557">
        <f t="shared" si="17"/>
        <v>2052</v>
      </c>
    </row>
    <row r="38" spans="2:33">
      <c r="B38" s="436" t="s">
        <v>353</v>
      </c>
      <c r="C38" s="439">
        <f t="shared" ref="C38:C43" si="18">SUM(D38:AG38)</f>
        <v>-125059275</v>
      </c>
      <c r="D38" s="439">
        <f>D27*Parametre!$C$71</f>
        <v>0</v>
      </c>
      <c r="E38" s="439">
        <f>E27*Parametre!$C$71</f>
        <v>0</v>
      </c>
      <c r="F38" s="439">
        <f>F27*Parametre!$C$71</f>
        <v>-1408320</v>
      </c>
      <c r="G38" s="439">
        <f>G27*Parametre!$C$71</f>
        <v>228960</v>
      </c>
      <c r="H38" s="439">
        <f>H27*Parametre!$C$71</f>
        <v>-1689615</v>
      </c>
      <c r="I38" s="439">
        <f>I27*Parametre!$C$71</f>
        <v>-4887612</v>
      </c>
      <c r="J38" s="439">
        <f>J27*Parametre!$C$71</f>
        <v>-4887612</v>
      </c>
      <c r="K38" s="439">
        <f>K27*Parametre!$C$71</f>
        <v>-4887612</v>
      </c>
      <c r="L38" s="439">
        <f>L27*Parametre!$C$71</f>
        <v>-4887612</v>
      </c>
      <c r="M38" s="439">
        <f>M27*Parametre!$C$71</f>
        <v>-4887612</v>
      </c>
      <c r="N38" s="439">
        <f>N27*Parametre!$C$71</f>
        <v>-4887612</v>
      </c>
      <c r="O38" s="439">
        <f>O27*Parametre!$C$71</f>
        <v>-4887612</v>
      </c>
      <c r="P38" s="439">
        <f>P27*Parametre!$C$71</f>
        <v>-4887612</v>
      </c>
      <c r="Q38" s="439">
        <f>Q27*Parametre!$C$71</f>
        <v>-4887612</v>
      </c>
      <c r="R38" s="439">
        <f>R27*Parametre!$C$71</f>
        <v>-4887612</v>
      </c>
      <c r="S38" s="439">
        <f>S27*Parametre!$C$71</f>
        <v>-4887612</v>
      </c>
      <c r="T38" s="439">
        <f>T27*Parametre!$C$71</f>
        <v>-4887612</v>
      </c>
      <c r="U38" s="439">
        <f>U27*Parametre!$C$71</f>
        <v>-4887612</v>
      </c>
      <c r="V38" s="439">
        <f>V27*Parametre!$C$71</f>
        <v>-4887612</v>
      </c>
      <c r="W38" s="439">
        <f>W27*Parametre!$C$71</f>
        <v>-4887612</v>
      </c>
      <c r="X38" s="439">
        <f>X27*Parametre!$C$71</f>
        <v>-4887612</v>
      </c>
      <c r="Y38" s="439">
        <f>Y27*Parametre!$C$71</f>
        <v>-4887612</v>
      </c>
      <c r="Z38" s="439">
        <f>Z27*Parametre!$C$71</f>
        <v>-4887612</v>
      </c>
      <c r="AA38" s="439">
        <f>AA27*Parametre!$C$71</f>
        <v>-4887612</v>
      </c>
      <c r="AB38" s="439">
        <f>AB27*Parametre!$C$71</f>
        <v>-4887612</v>
      </c>
      <c r="AC38" s="439">
        <f>AC27*Parametre!$C$71</f>
        <v>-4887612</v>
      </c>
      <c r="AD38" s="439">
        <f>AD27*Parametre!$C$71</f>
        <v>-4887612</v>
      </c>
      <c r="AE38" s="439">
        <f>AE27*Parametre!$C$71</f>
        <v>-4887612</v>
      </c>
      <c r="AF38" s="439">
        <f>AF27*Parametre!$C$71</f>
        <v>-4887612</v>
      </c>
      <c r="AG38" s="439">
        <f>AG27*Parametre!$C$71</f>
        <v>-4887612</v>
      </c>
    </row>
    <row r="39" spans="2:33">
      <c r="B39" s="436" t="s">
        <v>351</v>
      </c>
      <c r="C39" s="439">
        <f t="shared" si="18"/>
        <v>-420300000</v>
      </c>
      <c r="D39" s="439">
        <f>D28*Parametre!$C$71</f>
        <v>0</v>
      </c>
      <c r="E39" s="439">
        <f>E28*Parametre!$C$71</f>
        <v>0</v>
      </c>
      <c r="F39" s="439">
        <f>F28*Parametre!$C$71</f>
        <v>0</v>
      </c>
      <c r="G39" s="439">
        <f>G28*Parametre!$C$71</f>
        <v>-60300000</v>
      </c>
      <c r="H39" s="439">
        <f>H28*Parametre!$C$71</f>
        <v>-100350000</v>
      </c>
      <c r="I39" s="439">
        <f>I28*Parametre!$C$71</f>
        <v>-100350000</v>
      </c>
      <c r="J39" s="439">
        <f>J28*Parametre!$C$71</f>
        <v>-100350000</v>
      </c>
      <c r="K39" s="439">
        <f>K28*Parametre!$C$71</f>
        <v>0</v>
      </c>
      <c r="L39" s="439">
        <f>L28*Parametre!$C$71</f>
        <v>0</v>
      </c>
      <c r="M39" s="439">
        <f>M28*Parametre!$C$71</f>
        <v>0</v>
      </c>
      <c r="N39" s="439">
        <f>N28*Parametre!$C$71</f>
        <v>0</v>
      </c>
      <c r="O39" s="439">
        <f>O28*Parametre!$C$71</f>
        <v>0</v>
      </c>
      <c r="P39" s="439">
        <f>P28*Parametre!$C$71</f>
        <v>0</v>
      </c>
      <c r="Q39" s="439">
        <f>Q28*Parametre!$C$71</f>
        <v>0</v>
      </c>
      <c r="R39" s="439">
        <f>R28*Parametre!$C$71</f>
        <v>0</v>
      </c>
      <c r="S39" s="439">
        <f>S28*Parametre!$C$71</f>
        <v>0</v>
      </c>
      <c r="T39" s="439">
        <f>T28*Parametre!$C$71</f>
        <v>0</v>
      </c>
      <c r="U39" s="439">
        <f>U28*Parametre!$C$71</f>
        <v>0</v>
      </c>
      <c r="V39" s="439">
        <f>V28*Parametre!$C$71</f>
        <v>-16200000</v>
      </c>
      <c r="W39" s="439">
        <f>W28*Parametre!$C$71</f>
        <v>-21240000</v>
      </c>
      <c r="X39" s="439">
        <f>X28*Parametre!$C$71</f>
        <v>-21240000</v>
      </c>
      <c r="Y39" s="439">
        <f>Y28*Parametre!$C$71</f>
        <v>-21240000</v>
      </c>
      <c r="Z39" s="439">
        <f>Z28*Parametre!$C$71</f>
        <v>4860000</v>
      </c>
      <c r="AA39" s="439">
        <f>AA28*Parametre!$C$71</f>
        <v>4860000</v>
      </c>
      <c r="AB39" s="439">
        <f>AB28*Parametre!$C$71</f>
        <v>2250000</v>
      </c>
      <c r="AC39" s="439">
        <f>AC28*Parametre!$C$71</f>
        <v>2250000</v>
      </c>
      <c r="AD39" s="439">
        <f>AD28*Parametre!$C$71</f>
        <v>2250000</v>
      </c>
      <c r="AE39" s="439">
        <f>AE28*Parametre!$C$71</f>
        <v>2250000</v>
      </c>
      <c r="AF39" s="439">
        <f>AF28*Parametre!$C$71</f>
        <v>2250000</v>
      </c>
      <c r="AG39" s="439">
        <f>AG28*Parametre!$C$71</f>
        <v>0</v>
      </c>
    </row>
    <row r="40" spans="2:33">
      <c r="B40" s="438" t="s">
        <v>352</v>
      </c>
      <c r="C40" s="437">
        <f t="shared" si="18"/>
        <v>-545359275</v>
      </c>
      <c r="D40" s="437">
        <f t="shared" ref="D40:AG40" si="19">SUM(D38:D39)</f>
        <v>0</v>
      </c>
      <c r="E40" s="437">
        <f t="shared" si="19"/>
        <v>0</v>
      </c>
      <c r="F40" s="437">
        <f t="shared" si="19"/>
        <v>-1408320</v>
      </c>
      <c r="G40" s="437">
        <f t="shared" si="19"/>
        <v>-60071040</v>
      </c>
      <c r="H40" s="437">
        <f t="shared" si="19"/>
        <v>-102039615</v>
      </c>
      <c r="I40" s="437">
        <f t="shared" si="19"/>
        <v>-105237612</v>
      </c>
      <c r="J40" s="437">
        <f t="shared" si="19"/>
        <v>-105237612</v>
      </c>
      <c r="K40" s="437">
        <f t="shared" si="19"/>
        <v>-4887612</v>
      </c>
      <c r="L40" s="437">
        <f t="shared" si="19"/>
        <v>-4887612</v>
      </c>
      <c r="M40" s="437">
        <f t="shared" si="19"/>
        <v>-4887612</v>
      </c>
      <c r="N40" s="437">
        <f t="shared" si="19"/>
        <v>-4887612</v>
      </c>
      <c r="O40" s="437">
        <f t="shared" si="19"/>
        <v>-4887612</v>
      </c>
      <c r="P40" s="437">
        <f t="shared" si="19"/>
        <v>-4887612</v>
      </c>
      <c r="Q40" s="437">
        <f t="shared" si="19"/>
        <v>-4887612</v>
      </c>
      <c r="R40" s="437">
        <f t="shared" si="19"/>
        <v>-4887612</v>
      </c>
      <c r="S40" s="437">
        <f t="shared" si="19"/>
        <v>-4887612</v>
      </c>
      <c r="T40" s="437">
        <f t="shared" si="19"/>
        <v>-4887612</v>
      </c>
      <c r="U40" s="437">
        <f t="shared" si="19"/>
        <v>-4887612</v>
      </c>
      <c r="V40" s="437">
        <f t="shared" si="19"/>
        <v>-21087612</v>
      </c>
      <c r="W40" s="437">
        <f t="shared" si="19"/>
        <v>-26127612</v>
      </c>
      <c r="X40" s="437">
        <f t="shared" si="19"/>
        <v>-26127612</v>
      </c>
      <c r="Y40" s="437">
        <f t="shared" si="19"/>
        <v>-26127612</v>
      </c>
      <c r="Z40" s="437">
        <f t="shared" si="19"/>
        <v>-27612</v>
      </c>
      <c r="AA40" s="437">
        <f t="shared" si="19"/>
        <v>-27612</v>
      </c>
      <c r="AB40" s="437">
        <f t="shared" si="19"/>
        <v>-2637612</v>
      </c>
      <c r="AC40" s="437">
        <f t="shared" si="19"/>
        <v>-2637612</v>
      </c>
      <c r="AD40" s="437">
        <f t="shared" si="19"/>
        <v>-2637612</v>
      </c>
      <c r="AE40" s="437">
        <f t="shared" si="19"/>
        <v>-2637612</v>
      </c>
      <c r="AF40" s="437">
        <f t="shared" si="19"/>
        <v>-2637612</v>
      </c>
      <c r="AG40" s="437">
        <f t="shared" si="19"/>
        <v>-4887612</v>
      </c>
    </row>
    <row r="41" spans="2:33">
      <c r="B41" s="436" t="s">
        <v>229</v>
      </c>
      <c r="C41" s="439">
        <f t="shared" si="18"/>
        <v>56952828</v>
      </c>
      <c r="D41" s="439">
        <f>D30*Parametre!$C$71</f>
        <v>0</v>
      </c>
      <c r="E41" s="439">
        <f>E30*Parametre!$C$71</f>
        <v>0</v>
      </c>
      <c r="F41" s="439">
        <f>F30*Parametre!$C$71</f>
        <v>36684</v>
      </c>
      <c r="G41" s="439">
        <f>G30*Parametre!$C$71</f>
        <v>381708</v>
      </c>
      <c r="H41" s="439">
        <f>H30*Parametre!$C$71</f>
        <v>1528236</v>
      </c>
      <c r="I41" s="439">
        <f>I30*Parametre!$C$71</f>
        <v>2200248</v>
      </c>
      <c r="J41" s="439">
        <f>J30*Parametre!$C$71</f>
        <v>2200248</v>
      </c>
      <c r="K41" s="439">
        <f>K30*Parametre!$C$71</f>
        <v>2200248</v>
      </c>
      <c r="L41" s="439">
        <f>L30*Parametre!$C$71</f>
        <v>2200248</v>
      </c>
      <c r="M41" s="439">
        <f>M30*Parametre!$C$71</f>
        <v>2200248</v>
      </c>
      <c r="N41" s="439">
        <f>N30*Parametre!$C$71</f>
        <v>2200248</v>
      </c>
      <c r="O41" s="439">
        <f>O30*Parametre!$C$71</f>
        <v>2200248</v>
      </c>
      <c r="P41" s="439">
        <f>P30*Parametre!$C$71</f>
        <v>2200248</v>
      </c>
      <c r="Q41" s="439">
        <f>Q30*Parametre!$C$71</f>
        <v>2200248</v>
      </c>
      <c r="R41" s="439">
        <f>R30*Parametre!$C$71</f>
        <v>2200248</v>
      </c>
      <c r="S41" s="439">
        <f>S30*Parametre!$C$71</f>
        <v>2200248</v>
      </c>
      <c r="T41" s="439">
        <f>T30*Parametre!$C$71</f>
        <v>2200248</v>
      </c>
      <c r="U41" s="439">
        <f>U30*Parametre!$C$71</f>
        <v>2200248</v>
      </c>
      <c r="V41" s="439">
        <f>V30*Parametre!$C$71</f>
        <v>2200248</v>
      </c>
      <c r="W41" s="439">
        <f>W30*Parametre!$C$71</f>
        <v>2200248</v>
      </c>
      <c r="X41" s="439">
        <f>X30*Parametre!$C$71</f>
        <v>2200248</v>
      </c>
      <c r="Y41" s="439">
        <f>Y30*Parametre!$C$71</f>
        <v>2200248</v>
      </c>
      <c r="Z41" s="439">
        <f>Z30*Parametre!$C$71</f>
        <v>2200248</v>
      </c>
      <c r="AA41" s="439">
        <f>AA30*Parametre!$C$71</f>
        <v>2200248</v>
      </c>
      <c r="AB41" s="439">
        <f>AB30*Parametre!$C$71</f>
        <v>2200248</v>
      </c>
      <c r="AC41" s="439">
        <f>AC30*Parametre!$C$71</f>
        <v>2200248</v>
      </c>
      <c r="AD41" s="439">
        <f>AD30*Parametre!$C$71</f>
        <v>2200248</v>
      </c>
      <c r="AE41" s="439">
        <f>AE30*Parametre!$C$71</f>
        <v>2200248</v>
      </c>
      <c r="AF41" s="439">
        <f>AF30*Parametre!$C$71</f>
        <v>2200248</v>
      </c>
      <c r="AG41" s="439">
        <f>AG30*Parametre!$C$71</f>
        <v>2200248</v>
      </c>
    </row>
    <row r="42" spans="2:33" ht="12" thickBot="1">
      <c r="B42" s="434" t="s">
        <v>230</v>
      </c>
      <c r="C42" s="433">
        <f t="shared" si="18"/>
        <v>56952828</v>
      </c>
      <c r="D42" s="433">
        <f t="shared" ref="D42:AG42" si="20">SUM(D41:D41)</f>
        <v>0</v>
      </c>
      <c r="E42" s="433">
        <f t="shared" si="20"/>
        <v>0</v>
      </c>
      <c r="F42" s="433">
        <f t="shared" si="20"/>
        <v>36684</v>
      </c>
      <c r="G42" s="433">
        <f t="shared" si="20"/>
        <v>381708</v>
      </c>
      <c r="H42" s="433">
        <f t="shared" si="20"/>
        <v>1528236</v>
      </c>
      <c r="I42" s="433">
        <f t="shared" si="20"/>
        <v>2200248</v>
      </c>
      <c r="J42" s="433">
        <f t="shared" si="20"/>
        <v>2200248</v>
      </c>
      <c r="K42" s="433">
        <f t="shared" si="20"/>
        <v>2200248</v>
      </c>
      <c r="L42" s="433">
        <f t="shared" si="20"/>
        <v>2200248</v>
      </c>
      <c r="M42" s="433">
        <f t="shared" si="20"/>
        <v>2200248</v>
      </c>
      <c r="N42" s="433">
        <f t="shared" si="20"/>
        <v>2200248</v>
      </c>
      <c r="O42" s="433">
        <f t="shared" si="20"/>
        <v>2200248</v>
      </c>
      <c r="P42" s="433">
        <f t="shared" si="20"/>
        <v>2200248</v>
      </c>
      <c r="Q42" s="433">
        <f t="shared" si="20"/>
        <v>2200248</v>
      </c>
      <c r="R42" s="433">
        <f t="shared" si="20"/>
        <v>2200248</v>
      </c>
      <c r="S42" s="433">
        <f t="shared" si="20"/>
        <v>2200248</v>
      </c>
      <c r="T42" s="433">
        <f t="shared" si="20"/>
        <v>2200248</v>
      </c>
      <c r="U42" s="433">
        <f t="shared" si="20"/>
        <v>2200248</v>
      </c>
      <c r="V42" s="433">
        <f t="shared" si="20"/>
        <v>2200248</v>
      </c>
      <c r="W42" s="433">
        <f t="shared" si="20"/>
        <v>2200248</v>
      </c>
      <c r="X42" s="433">
        <f t="shared" si="20"/>
        <v>2200248</v>
      </c>
      <c r="Y42" s="433">
        <f t="shared" si="20"/>
        <v>2200248</v>
      </c>
      <c r="Z42" s="433">
        <f t="shared" si="20"/>
        <v>2200248</v>
      </c>
      <c r="AA42" s="433">
        <f t="shared" si="20"/>
        <v>2200248</v>
      </c>
      <c r="AB42" s="433">
        <f t="shared" si="20"/>
        <v>2200248</v>
      </c>
      <c r="AC42" s="433">
        <f t="shared" si="20"/>
        <v>2200248</v>
      </c>
      <c r="AD42" s="433">
        <f t="shared" si="20"/>
        <v>2200248</v>
      </c>
      <c r="AE42" s="433">
        <f t="shared" si="20"/>
        <v>2200248</v>
      </c>
      <c r="AF42" s="433">
        <f t="shared" si="20"/>
        <v>2200248</v>
      </c>
      <c r="AG42" s="433">
        <f t="shared" si="20"/>
        <v>2200248</v>
      </c>
    </row>
    <row r="43" spans="2:33" ht="12" thickTop="1">
      <c r="B43" s="431" t="s">
        <v>231</v>
      </c>
      <c r="C43" s="430">
        <f t="shared" si="18"/>
        <v>-488406447</v>
      </c>
      <c r="D43" s="430">
        <f t="shared" ref="D43:AG43" si="21">SUM(D40,D42)</f>
        <v>0</v>
      </c>
      <c r="E43" s="430">
        <f t="shared" si="21"/>
        <v>0</v>
      </c>
      <c r="F43" s="430">
        <f t="shared" si="21"/>
        <v>-1371636</v>
      </c>
      <c r="G43" s="430">
        <f t="shared" si="21"/>
        <v>-59689332</v>
      </c>
      <c r="H43" s="430">
        <f t="shared" si="21"/>
        <v>-100511379</v>
      </c>
      <c r="I43" s="430">
        <f t="shared" si="21"/>
        <v>-103037364</v>
      </c>
      <c r="J43" s="430">
        <f t="shared" si="21"/>
        <v>-103037364</v>
      </c>
      <c r="K43" s="430">
        <f t="shared" si="21"/>
        <v>-2687364</v>
      </c>
      <c r="L43" s="430">
        <f t="shared" si="21"/>
        <v>-2687364</v>
      </c>
      <c r="M43" s="430">
        <f t="shared" si="21"/>
        <v>-2687364</v>
      </c>
      <c r="N43" s="430">
        <f t="shared" si="21"/>
        <v>-2687364</v>
      </c>
      <c r="O43" s="430">
        <f t="shared" si="21"/>
        <v>-2687364</v>
      </c>
      <c r="P43" s="430">
        <f t="shared" si="21"/>
        <v>-2687364</v>
      </c>
      <c r="Q43" s="430">
        <f t="shared" si="21"/>
        <v>-2687364</v>
      </c>
      <c r="R43" s="430">
        <f t="shared" si="21"/>
        <v>-2687364</v>
      </c>
      <c r="S43" s="430">
        <f t="shared" si="21"/>
        <v>-2687364</v>
      </c>
      <c r="T43" s="430">
        <f t="shared" si="21"/>
        <v>-2687364</v>
      </c>
      <c r="U43" s="430">
        <f t="shared" si="21"/>
        <v>-2687364</v>
      </c>
      <c r="V43" s="430">
        <f t="shared" si="21"/>
        <v>-18887364</v>
      </c>
      <c r="W43" s="430">
        <f t="shared" si="21"/>
        <v>-23927364</v>
      </c>
      <c r="X43" s="430">
        <f t="shared" si="21"/>
        <v>-23927364</v>
      </c>
      <c r="Y43" s="430">
        <f t="shared" si="21"/>
        <v>-23927364</v>
      </c>
      <c r="Z43" s="430">
        <f t="shared" si="21"/>
        <v>2172636</v>
      </c>
      <c r="AA43" s="430">
        <f t="shared" si="21"/>
        <v>2172636</v>
      </c>
      <c r="AB43" s="430">
        <f t="shared" si="21"/>
        <v>-437364</v>
      </c>
      <c r="AC43" s="430">
        <f t="shared" si="21"/>
        <v>-437364</v>
      </c>
      <c r="AD43" s="430">
        <f t="shared" si="21"/>
        <v>-437364</v>
      </c>
      <c r="AE43" s="430">
        <f t="shared" si="21"/>
        <v>-437364</v>
      </c>
      <c r="AF43" s="430">
        <f t="shared" si="21"/>
        <v>-437364</v>
      </c>
      <c r="AG43" s="430">
        <f t="shared" si="21"/>
        <v>-2687364</v>
      </c>
    </row>
    <row r="45" spans="2:33">
      <c r="B45" s="432" t="s">
        <v>216</v>
      </c>
    </row>
    <row r="46" spans="2:33">
      <c r="B46" s="432" t="s">
        <v>217</v>
      </c>
    </row>
  </sheetData>
  <sheetProtection algorithmName="SHA-512" hashValue="WZTnV8V5p9IXLuytkjsk4l7AaY+1S5U3X5Z2iK4NTw+i1BUYUVlfNiElhuU/TQra22QVQqVyeIazjHS1w99KyQ==" saltValue="2Syc0UsUbLcz1GY4IwV91Q==" spinCount="100000" sheet="1" objects="1" scenarios="1"/>
  <pageMargins left="0.19687499999999999" right="0.26250000000000001" top="0.88958333333333328" bottom="0.7" header="0.5" footer="0.5"/>
  <pageSetup paperSize="9" scale="70" orientation="landscape" r:id="rId1"/>
  <headerFooter alignWithMargins="0">
    <oddHeader>&amp;LPríloha 7: Štandardné tabuľky - Cesty
&amp;"Arial,Tučné"&amp;12 03 Náklady na prevádzku a údržbu</oddHeader>
    <oddFooter>Strana &amp;P z &amp;N</oddFooter>
  </headerFooter>
  <ignoredErrors>
    <ignoredError sqref="D29:AG29 D40:AG40"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7574F-29F8-4DAD-8F62-56CBA3F297AD}">
  <sheetPr>
    <tabColor theme="0" tint="-0.14999847407452621"/>
  </sheetPr>
  <dimension ref="A1:BY91"/>
  <sheetViews>
    <sheetView workbookViewId="0">
      <selection activeCell="D10" sqref="D10:D12"/>
    </sheetView>
  </sheetViews>
  <sheetFormatPr defaultColWidth="8.85546875" defaultRowHeight="12.75"/>
  <cols>
    <col min="1" max="1" width="1.42578125" style="428" customWidth="1"/>
    <col min="2" max="2" width="32.140625" style="428" bestFit="1" customWidth="1"/>
    <col min="3" max="3" width="11.42578125" style="428" bestFit="1" customWidth="1"/>
    <col min="4" max="4" width="11.140625" style="428" customWidth="1"/>
    <col min="5" max="5" width="9.42578125" style="428" customWidth="1"/>
    <col min="6" max="6" width="11.140625" style="428" customWidth="1"/>
    <col min="7" max="7" width="10" style="428" customWidth="1"/>
    <col min="8" max="37" width="9.85546875" style="428" bestFit="1" customWidth="1"/>
    <col min="38" max="16384" width="8.85546875" style="428"/>
  </cols>
  <sheetData>
    <row r="1" spans="1:37">
      <c r="B1" s="904"/>
      <c r="C1" s="904"/>
      <c r="D1" s="904"/>
      <c r="E1" s="904"/>
      <c r="F1" s="904"/>
      <c r="G1" s="904"/>
      <c r="H1" s="905"/>
      <c r="I1" s="905"/>
      <c r="J1" s="905"/>
      <c r="K1" s="905"/>
      <c r="L1" s="905"/>
      <c r="M1" s="905"/>
      <c r="N1" s="905"/>
      <c r="O1" s="905"/>
      <c r="P1" s="905"/>
      <c r="Q1" s="905"/>
      <c r="R1" s="905"/>
      <c r="S1" s="905"/>
      <c r="T1" s="905"/>
      <c r="U1" s="905"/>
      <c r="V1" s="905"/>
      <c r="W1" s="905"/>
      <c r="X1" s="905"/>
      <c r="Y1" s="905"/>
      <c r="Z1" s="905"/>
      <c r="AA1" s="905"/>
      <c r="AB1" s="905"/>
      <c r="AC1" s="905"/>
      <c r="AD1" s="905"/>
      <c r="AE1" s="905"/>
      <c r="AF1" s="905"/>
      <c r="AG1" s="905"/>
      <c r="AH1" s="905"/>
      <c r="AI1" s="905"/>
      <c r="AJ1" s="905"/>
      <c r="AK1" s="905"/>
    </row>
    <row r="2" spans="1:37">
      <c r="A2" s="452"/>
      <c r="B2" s="906" t="s">
        <v>542</v>
      </c>
      <c r="C2" s="906"/>
      <c r="D2" s="906"/>
      <c r="E2" s="906"/>
      <c r="F2" s="906"/>
      <c r="G2" s="907"/>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row>
    <row r="3" spans="1:37">
      <c r="A3" s="452"/>
      <c r="B3" s="906"/>
      <c r="C3" s="906"/>
      <c r="D3" s="906"/>
      <c r="E3" s="906"/>
      <c r="F3" s="906"/>
      <c r="G3" s="907"/>
      <c r="H3" s="452"/>
      <c r="I3" s="452"/>
      <c r="J3" s="452"/>
      <c r="K3" s="452"/>
      <c r="L3" s="452"/>
      <c r="M3" s="452"/>
      <c r="N3" s="452"/>
      <c r="O3" s="452"/>
      <c r="P3" s="452"/>
      <c r="Q3" s="452"/>
      <c r="R3" s="452"/>
      <c r="S3" s="452"/>
      <c r="T3" s="452"/>
      <c r="U3" s="452"/>
      <c r="V3" s="452"/>
      <c r="W3" s="452"/>
      <c r="X3" s="452"/>
      <c r="Y3" s="452"/>
      <c r="Z3" s="452"/>
      <c r="AA3" s="452"/>
      <c r="AB3" s="452"/>
      <c r="AC3" s="452"/>
      <c r="AD3" s="452"/>
      <c r="AE3" s="452"/>
      <c r="AF3" s="452"/>
      <c r="AG3" s="452"/>
      <c r="AH3" s="452"/>
      <c r="AI3" s="452"/>
      <c r="AJ3" s="452"/>
      <c r="AK3" s="452"/>
    </row>
    <row r="4" spans="1:37" s="429" customFormat="1">
      <c r="A4" s="485"/>
      <c r="B4" s="906"/>
      <c r="C4" s="906"/>
      <c r="D4" s="906"/>
      <c r="E4" s="906"/>
      <c r="F4" s="906"/>
      <c r="G4" s="907"/>
      <c r="H4" s="485"/>
      <c r="I4" s="485"/>
      <c r="J4" s="485"/>
      <c r="K4" s="485"/>
      <c r="L4" s="485"/>
      <c r="M4" s="485"/>
      <c r="N4" s="485"/>
      <c r="O4" s="485"/>
      <c r="P4" s="485"/>
      <c r="Q4" s="485"/>
      <c r="R4" s="485"/>
      <c r="S4" s="485"/>
      <c r="T4" s="485"/>
      <c r="U4" s="485"/>
      <c r="V4" s="485"/>
      <c r="W4" s="485"/>
      <c r="X4" s="485"/>
      <c r="Y4" s="485"/>
      <c r="Z4" s="485"/>
      <c r="AA4" s="485"/>
      <c r="AB4" s="485"/>
      <c r="AC4" s="485"/>
      <c r="AD4" s="485"/>
      <c r="AE4" s="485"/>
      <c r="AF4" s="485"/>
      <c r="AG4" s="485"/>
      <c r="AH4" s="485"/>
      <c r="AI4" s="485"/>
      <c r="AJ4" s="485"/>
      <c r="AK4" s="485"/>
    </row>
    <row r="5" spans="1:37">
      <c r="A5" s="452"/>
      <c r="B5" s="908" t="s">
        <v>541</v>
      </c>
      <c r="C5" s="909"/>
      <c r="D5" s="909"/>
      <c r="E5" s="909"/>
      <c r="F5" s="909"/>
      <c r="G5" s="910"/>
      <c r="H5" s="452"/>
      <c r="I5" s="554"/>
      <c r="J5" s="452"/>
      <c r="K5" s="452"/>
      <c r="L5" s="452"/>
      <c r="M5" s="452"/>
      <c r="N5" s="452"/>
      <c r="O5" s="452"/>
      <c r="P5" s="452"/>
      <c r="Q5" s="452"/>
      <c r="R5" s="452"/>
      <c r="S5" s="452"/>
      <c r="T5" s="452"/>
      <c r="U5" s="452"/>
      <c r="V5" s="452"/>
      <c r="W5" s="452"/>
      <c r="X5" s="452"/>
      <c r="Y5" s="452"/>
      <c r="Z5" s="452"/>
      <c r="AA5" s="452"/>
      <c r="AB5" s="452"/>
      <c r="AC5" s="452"/>
      <c r="AD5" s="452"/>
      <c r="AE5" s="452"/>
      <c r="AF5" s="452"/>
      <c r="AG5" s="452"/>
      <c r="AH5" s="452"/>
      <c r="AI5" s="452"/>
      <c r="AJ5" s="452"/>
      <c r="AK5" s="452"/>
    </row>
    <row r="6" spans="1:37">
      <c r="A6" s="452"/>
      <c r="B6" s="908" t="s">
        <v>540</v>
      </c>
      <c r="C6" s="909"/>
      <c r="D6" s="909"/>
      <c r="E6" s="909"/>
      <c r="F6" s="909"/>
      <c r="G6" s="910"/>
      <c r="H6" s="452"/>
      <c r="I6" s="554"/>
      <c r="J6" s="452"/>
      <c r="K6" s="452"/>
      <c r="L6" s="452"/>
      <c r="M6" s="452"/>
      <c r="N6" s="452"/>
      <c r="O6" s="452"/>
      <c r="P6" s="452"/>
      <c r="Q6" s="452"/>
      <c r="R6" s="452"/>
      <c r="S6" s="452"/>
      <c r="T6" s="452"/>
      <c r="U6" s="452"/>
      <c r="V6" s="452"/>
      <c r="W6" s="452"/>
      <c r="X6" s="452"/>
      <c r="Y6" s="452"/>
      <c r="Z6" s="452"/>
      <c r="AA6" s="452"/>
      <c r="AB6" s="452"/>
      <c r="AC6" s="452"/>
      <c r="AD6" s="452"/>
      <c r="AE6" s="452"/>
      <c r="AF6" s="452"/>
      <c r="AG6" s="452"/>
      <c r="AH6" s="452"/>
      <c r="AI6" s="452"/>
      <c r="AJ6" s="452"/>
      <c r="AK6" s="452"/>
    </row>
    <row r="7" spans="1:37">
      <c r="A7" s="452"/>
      <c r="B7" s="908" t="s">
        <v>539</v>
      </c>
      <c r="C7" s="909"/>
      <c r="D7" s="909"/>
      <c r="E7" s="909"/>
      <c r="F7" s="909"/>
      <c r="G7" s="910"/>
      <c r="H7" s="452"/>
      <c r="I7" s="452"/>
      <c r="J7" s="452"/>
      <c r="K7" s="452"/>
      <c r="L7" s="452"/>
      <c r="M7" s="452"/>
      <c r="N7" s="452"/>
      <c r="O7" s="452"/>
      <c r="P7" s="452"/>
      <c r="Q7" s="452"/>
      <c r="R7" s="452"/>
      <c r="S7" s="452"/>
      <c r="T7" s="452"/>
      <c r="U7" s="452"/>
      <c r="V7" s="452"/>
      <c r="W7" s="452"/>
      <c r="X7" s="452"/>
      <c r="Y7" s="452"/>
      <c r="Z7" s="452"/>
      <c r="AA7" s="452"/>
      <c r="AB7" s="452"/>
      <c r="AC7" s="452"/>
      <c r="AD7" s="452"/>
      <c r="AE7" s="452"/>
      <c r="AF7" s="452"/>
      <c r="AG7" s="452"/>
      <c r="AH7" s="452"/>
      <c r="AI7" s="452"/>
      <c r="AJ7" s="452"/>
      <c r="AK7" s="452"/>
    </row>
    <row r="8" spans="1:37">
      <c r="A8" s="452"/>
      <c r="B8" s="452"/>
      <c r="C8" s="452"/>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row>
    <row r="9" spans="1:37" ht="13.5" thickBot="1">
      <c r="A9" s="452"/>
      <c r="B9" s="542"/>
      <c r="C9" s="542"/>
      <c r="D9" s="542"/>
      <c r="E9" s="542"/>
      <c r="F9" s="542"/>
      <c r="G9" s="542"/>
      <c r="H9" s="542"/>
      <c r="I9" s="542"/>
      <c r="J9" s="542"/>
      <c r="K9" s="542"/>
      <c r="L9" s="542"/>
      <c r="M9" s="542"/>
      <c r="N9" s="542"/>
      <c r="O9" s="542"/>
      <c r="P9" s="542"/>
      <c r="Q9" s="542"/>
      <c r="R9" s="542"/>
      <c r="S9" s="542"/>
      <c r="T9" s="542"/>
      <c r="U9" s="542"/>
      <c r="V9" s="542"/>
      <c r="W9" s="542"/>
      <c r="X9" s="542"/>
      <c r="Y9" s="542"/>
      <c r="Z9" s="542"/>
      <c r="AA9" s="542"/>
      <c r="AB9" s="542"/>
      <c r="AC9" s="542"/>
      <c r="AD9" s="542"/>
      <c r="AE9" s="542"/>
      <c r="AF9" s="542"/>
      <c r="AG9" s="542"/>
      <c r="AH9" s="542"/>
      <c r="AI9" s="542"/>
      <c r="AJ9" s="542"/>
      <c r="AK9" s="542"/>
    </row>
    <row r="10" spans="1:37">
      <c r="A10" s="452"/>
      <c r="B10" s="892" t="s">
        <v>538</v>
      </c>
      <c r="C10" s="507" t="s">
        <v>532</v>
      </c>
      <c r="D10" s="894" t="s">
        <v>531</v>
      </c>
      <c r="E10" s="894" t="s">
        <v>530</v>
      </c>
      <c r="F10" s="911" t="s">
        <v>529</v>
      </c>
      <c r="G10" s="506" t="s">
        <v>528</v>
      </c>
      <c r="H10" s="505">
        <v>2023</v>
      </c>
      <c r="I10" s="504">
        <f>H10+1</f>
        <v>2024</v>
      </c>
      <c r="J10" s="504">
        <f>I10+1</f>
        <v>2025</v>
      </c>
      <c r="K10" s="504">
        <f t="shared" ref="K10:AI10" si="0">J10+1</f>
        <v>2026</v>
      </c>
      <c r="L10" s="504">
        <f t="shared" si="0"/>
        <v>2027</v>
      </c>
      <c r="M10" s="504">
        <f t="shared" si="0"/>
        <v>2028</v>
      </c>
      <c r="N10" s="504">
        <f t="shared" si="0"/>
        <v>2029</v>
      </c>
      <c r="O10" s="504">
        <f t="shared" si="0"/>
        <v>2030</v>
      </c>
      <c r="P10" s="504">
        <f t="shared" si="0"/>
        <v>2031</v>
      </c>
      <c r="Q10" s="504">
        <f t="shared" si="0"/>
        <v>2032</v>
      </c>
      <c r="R10" s="504">
        <f t="shared" si="0"/>
        <v>2033</v>
      </c>
      <c r="S10" s="504">
        <f t="shared" si="0"/>
        <v>2034</v>
      </c>
      <c r="T10" s="504">
        <f t="shared" si="0"/>
        <v>2035</v>
      </c>
      <c r="U10" s="504">
        <f t="shared" si="0"/>
        <v>2036</v>
      </c>
      <c r="V10" s="504">
        <f t="shared" si="0"/>
        <v>2037</v>
      </c>
      <c r="W10" s="504">
        <f t="shared" si="0"/>
        <v>2038</v>
      </c>
      <c r="X10" s="504">
        <f t="shared" si="0"/>
        <v>2039</v>
      </c>
      <c r="Y10" s="504">
        <f t="shared" si="0"/>
        <v>2040</v>
      </c>
      <c r="Z10" s="504">
        <f t="shared" si="0"/>
        <v>2041</v>
      </c>
      <c r="AA10" s="504">
        <f t="shared" si="0"/>
        <v>2042</v>
      </c>
      <c r="AB10" s="504">
        <f t="shared" si="0"/>
        <v>2043</v>
      </c>
      <c r="AC10" s="504">
        <f t="shared" si="0"/>
        <v>2044</v>
      </c>
      <c r="AD10" s="504">
        <f t="shared" si="0"/>
        <v>2045</v>
      </c>
      <c r="AE10" s="504">
        <f t="shared" si="0"/>
        <v>2046</v>
      </c>
      <c r="AF10" s="504">
        <f t="shared" si="0"/>
        <v>2047</v>
      </c>
      <c r="AG10" s="504">
        <f t="shared" si="0"/>
        <v>2048</v>
      </c>
      <c r="AH10" s="504">
        <f t="shared" si="0"/>
        <v>2049</v>
      </c>
      <c r="AI10" s="504">
        <f t="shared" si="0"/>
        <v>2050</v>
      </c>
      <c r="AJ10" s="504">
        <f>AI10+1</f>
        <v>2051</v>
      </c>
      <c r="AK10" s="504">
        <f>AJ10+1</f>
        <v>2052</v>
      </c>
    </row>
    <row r="11" spans="1:37">
      <c r="A11" s="452"/>
      <c r="B11" s="893"/>
      <c r="C11" s="503" t="s">
        <v>527</v>
      </c>
      <c r="D11" s="895"/>
      <c r="E11" s="895"/>
      <c r="F11" s="912"/>
      <c r="G11" s="435" t="s">
        <v>526</v>
      </c>
      <c r="H11" s="435">
        <v>17</v>
      </c>
      <c r="I11" s="435">
        <v>17</v>
      </c>
      <c r="J11" s="435">
        <v>17</v>
      </c>
      <c r="K11" s="435">
        <v>17</v>
      </c>
      <c r="L11" s="435">
        <v>17</v>
      </c>
      <c r="M11" s="435">
        <v>17</v>
      </c>
      <c r="N11" s="435">
        <v>17</v>
      </c>
      <c r="O11" s="435">
        <v>17</v>
      </c>
      <c r="P11" s="435">
        <v>17</v>
      </c>
      <c r="Q11" s="435">
        <v>17</v>
      </c>
      <c r="R11" s="435">
        <v>17</v>
      </c>
      <c r="S11" s="435">
        <v>17</v>
      </c>
      <c r="T11" s="435">
        <v>17</v>
      </c>
      <c r="U11" s="435">
        <v>17</v>
      </c>
      <c r="V11" s="435">
        <v>17</v>
      </c>
      <c r="W11" s="435">
        <v>17</v>
      </c>
      <c r="X11" s="435">
        <v>17</v>
      </c>
      <c r="Y11" s="435">
        <v>17</v>
      </c>
      <c r="Z11" s="435">
        <v>17</v>
      </c>
      <c r="AA11" s="435">
        <v>17</v>
      </c>
      <c r="AB11" s="435">
        <v>17</v>
      </c>
      <c r="AC11" s="435">
        <v>17</v>
      </c>
      <c r="AD11" s="435">
        <v>17</v>
      </c>
      <c r="AE11" s="435">
        <v>17</v>
      </c>
      <c r="AF11" s="435">
        <v>17</v>
      </c>
      <c r="AG11" s="435">
        <v>17</v>
      </c>
      <c r="AH11" s="435">
        <v>17</v>
      </c>
      <c r="AI11" s="435">
        <v>17</v>
      </c>
      <c r="AJ11" s="435">
        <v>17</v>
      </c>
      <c r="AK11" s="435">
        <v>17</v>
      </c>
    </row>
    <row r="12" spans="1:37" s="429" customFormat="1" ht="13.5" thickBot="1">
      <c r="A12" s="485"/>
      <c r="B12" s="500" t="s">
        <v>525</v>
      </c>
      <c r="C12" s="499">
        <f>340*900</f>
        <v>306000</v>
      </c>
      <c r="D12" s="896"/>
      <c r="E12" s="896"/>
      <c r="F12" s="913"/>
      <c r="G12" s="553" t="s">
        <v>524</v>
      </c>
      <c r="H12" s="553">
        <v>13</v>
      </c>
      <c r="I12" s="553">
        <v>13</v>
      </c>
      <c r="J12" s="553">
        <v>13</v>
      </c>
      <c r="K12" s="553">
        <v>13</v>
      </c>
      <c r="L12" s="553">
        <v>13</v>
      </c>
      <c r="M12" s="553">
        <v>13</v>
      </c>
      <c r="N12" s="553">
        <v>13</v>
      </c>
      <c r="O12" s="553">
        <v>13</v>
      </c>
      <c r="P12" s="553">
        <v>13</v>
      </c>
      <c r="Q12" s="553">
        <v>13</v>
      </c>
      <c r="R12" s="553">
        <v>13</v>
      </c>
      <c r="S12" s="553">
        <v>13</v>
      </c>
      <c r="T12" s="553">
        <v>13</v>
      </c>
      <c r="U12" s="553">
        <v>13</v>
      </c>
      <c r="V12" s="553">
        <v>13</v>
      </c>
      <c r="W12" s="553">
        <v>13</v>
      </c>
      <c r="X12" s="553">
        <v>13</v>
      </c>
      <c r="Y12" s="553">
        <v>13</v>
      </c>
      <c r="Z12" s="553">
        <v>13</v>
      </c>
      <c r="AA12" s="553">
        <v>13</v>
      </c>
      <c r="AB12" s="553">
        <v>13</v>
      </c>
      <c r="AC12" s="553">
        <v>13</v>
      </c>
      <c r="AD12" s="553">
        <v>13</v>
      </c>
      <c r="AE12" s="553">
        <v>13</v>
      </c>
      <c r="AF12" s="553">
        <v>13</v>
      </c>
      <c r="AG12" s="553">
        <v>13</v>
      </c>
      <c r="AH12" s="553">
        <v>13</v>
      </c>
      <c r="AI12" s="553">
        <v>13</v>
      </c>
      <c r="AJ12" s="553">
        <v>13</v>
      </c>
      <c r="AK12" s="553">
        <v>13</v>
      </c>
    </row>
    <row r="13" spans="1:37" s="429" customFormat="1">
      <c r="A13" s="485"/>
      <c r="B13" s="496" t="s">
        <v>523</v>
      </c>
      <c r="C13" s="495" t="s">
        <v>276</v>
      </c>
      <c r="D13" s="494">
        <v>0.88</v>
      </c>
      <c r="E13" s="493">
        <f t="shared" ref="E13" si="1">900*340</f>
        <v>306000</v>
      </c>
      <c r="F13" s="492">
        <f>D13*E13</f>
        <v>269280</v>
      </c>
      <c r="G13" s="914"/>
      <c r="H13" s="552">
        <f>$F$13*H11</f>
        <v>4577760</v>
      </c>
      <c r="I13" s="551">
        <f t="shared" ref="I13:AK13" si="2">$F$13*I11</f>
        <v>4577760</v>
      </c>
      <c r="J13" s="551">
        <f t="shared" si="2"/>
        <v>4577760</v>
      </c>
      <c r="K13" s="551">
        <f t="shared" si="2"/>
        <v>4577760</v>
      </c>
      <c r="L13" s="551">
        <f t="shared" si="2"/>
        <v>4577760</v>
      </c>
      <c r="M13" s="551">
        <f t="shared" si="2"/>
        <v>4577760</v>
      </c>
      <c r="N13" s="551">
        <f t="shared" si="2"/>
        <v>4577760</v>
      </c>
      <c r="O13" s="551">
        <f t="shared" si="2"/>
        <v>4577760</v>
      </c>
      <c r="P13" s="551">
        <f t="shared" si="2"/>
        <v>4577760</v>
      </c>
      <c r="Q13" s="551">
        <f t="shared" si="2"/>
        <v>4577760</v>
      </c>
      <c r="R13" s="551">
        <f t="shared" si="2"/>
        <v>4577760</v>
      </c>
      <c r="S13" s="551">
        <f t="shared" si="2"/>
        <v>4577760</v>
      </c>
      <c r="T13" s="551">
        <f t="shared" si="2"/>
        <v>4577760</v>
      </c>
      <c r="U13" s="551">
        <f t="shared" si="2"/>
        <v>4577760</v>
      </c>
      <c r="V13" s="551">
        <f t="shared" si="2"/>
        <v>4577760</v>
      </c>
      <c r="W13" s="551">
        <f t="shared" si="2"/>
        <v>4577760</v>
      </c>
      <c r="X13" s="551">
        <f t="shared" si="2"/>
        <v>4577760</v>
      </c>
      <c r="Y13" s="551">
        <f t="shared" si="2"/>
        <v>4577760</v>
      </c>
      <c r="Z13" s="551">
        <f t="shared" si="2"/>
        <v>4577760</v>
      </c>
      <c r="AA13" s="551">
        <f t="shared" si="2"/>
        <v>4577760</v>
      </c>
      <c r="AB13" s="551">
        <f t="shared" si="2"/>
        <v>4577760</v>
      </c>
      <c r="AC13" s="551">
        <f t="shared" si="2"/>
        <v>4577760</v>
      </c>
      <c r="AD13" s="551">
        <f t="shared" si="2"/>
        <v>4577760</v>
      </c>
      <c r="AE13" s="551">
        <f t="shared" si="2"/>
        <v>4577760</v>
      </c>
      <c r="AF13" s="551">
        <f t="shared" si="2"/>
        <v>4577760</v>
      </c>
      <c r="AG13" s="551">
        <f t="shared" si="2"/>
        <v>4577760</v>
      </c>
      <c r="AH13" s="551">
        <f t="shared" si="2"/>
        <v>4577760</v>
      </c>
      <c r="AI13" s="551">
        <f t="shared" si="2"/>
        <v>4577760</v>
      </c>
      <c r="AJ13" s="551">
        <f t="shared" si="2"/>
        <v>4577760</v>
      </c>
      <c r="AK13" s="550">
        <f t="shared" si="2"/>
        <v>4577760</v>
      </c>
    </row>
    <row r="14" spans="1:37" s="429" customFormat="1">
      <c r="A14" s="485"/>
      <c r="B14" s="477" t="s">
        <v>522</v>
      </c>
      <c r="C14" s="476" t="s">
        <v>276</v>
      </c>
      <c r="D14" s="549"/>
      <c r="E14" s="549"/>
      <c r="F14" s="528"/>
      <c r="G14" s="914"/>
      <c r="H14" s="532"/>
      <c r="I14" s="531"/>
      <c r="J14" s="531"/>
      <c r="K14" s="531"/>
      <c r="L14" s="531"/>
      <c r="M14" s="531"/>
      <c r="N14" s="531"/>
      <c r="O14" s="531"/>
      <c r="P14" s="531"/>
      <c r="Q14" s="531"/>
      <c r="R14" s="531"/>
      <c r="S14" s="531"/>
      <c r="T14" s="531"/>
      <c r="U14" s="531"/>
      <c r="V14" s="531"/>
      <c r="W14" s="531"/>
      <c r="X14" s="531"/>
      <c r="Y14" s="531"/>
      <c r="Z14" s="531"/>
      <c r="AA14" s="531"/>
      <c r="AB14" s="531"/>
      <c r="AC14" s="531"/>
      <c r="AD14" s="531"/>
      <c r="AE14" s="531"/>
      <c r="AF14" s="531"/>
      <c r="AG14" s="531"/>
      <c r="AH14" s="531"/>
      <c r="AI14" s="531"/>
      <c r="AJ14" s="531"/>
      <c r="AK14" s="530"/>
    </row>
    <row r="15" spans="1:37">
      <c r="A15" s="452"/>
      <c r="B15" s="477" t="s">
        <v>521</v>
      </c>
      <c r="C15" s="476" t="s">
        <v>276</v>
      </c>
      <c r="D15" s="475">
        <v>0.04</v>
      </c>
      <c r="E15" s="474">
        <f>900*340</f>
        <v>306000</v>
      </c>
      <c r="F15" s="473">
        <f>D15*E15</f>
        <v>12240</v>
      </c>
      <c r="G15" s="914"/>
      <c r="H15" s="472">
        <f>$F$15*H11</f>
        <v>208080</v>
      </c>
      <c r="I15" s="471">
        <f>$F$15*I11</f>
        <v>208080</v>
      </c>
      <c r="J15" s="471">
        <f t="shared" ref="J15:AK15" si="3">$F$15*J11</f>
        <v>208080</v>
      </c>
      <c r="K15" s="471">
        <f t="shared" si="3"/>
        <v>208080</v>
      </c>
      <c r="L15" s="471">
        <f t="shared" si="3"/>
        <v>208080</v>
      </c>
      <c r="M15" s="471">
        <f t="shared" si="3"/>
        <v>208080</v>
      </c>
      <c r="N15" s="471">
        <f t="shared" si="3"/>
        <v>208080</v>
      </c>
      <c r="O15" s="471">
        <f t="shared" si="3"/>
        <v>208080</v>
      </c>
      <c r="P15" s="471">
        <f t="shared" si="3"/>
        <v>208080</v>
      </c>
      <c r="Q15" s="471">
        <f t="shared" si="3"/>
        <v>208080</v>
      </c>
      <c r="R15" s="471">
        <f t="shared" si="3"/>
        <v>208080</v>
      </c>
      <c r="S15" s="471">
        <f t="shared" si="3"/>
        <v>208080</v>
      </c>
      <c r="T15" s="471">
        <f t="shared" si="3"/>
        <v>208080</v>
      </c>
      <c r="U15" s="471">
        <f t="shared" si="3"/>
        <v>208080</v>
      </c>
      <c r="V15" s="471">
        <f t="shared" si="3"/>
        <v>208080</v>
      </c>
      <c r="W15" s="471">
        <f t="shared" si="3"/>
        <v>208080</v>
      </c>
      <c r="X15" s="471">
        <f t="shared" si="3"/>
        <v>208080</v>
      </c>
      <c r="Y15" s="471">
        <f t="shared" si="3"/>
        <v>208080</v>
      </c>
      <c r="Z15" s="471">
        <f t="shared" si="3"/>
        <v>208080</v>
      </c>
      <c r="AA15" s="471">
        <f t="shared" si="3"/>
        <v>208080</v>
      </c>
      <c r="AB15" s="471">
        <f t="shared" si="3"/>
        <v>208080</v>
      </c>
      <c r="AC15" s="471">
        <f t="shared" si="3"/>
        <v>208080</v>
      </c>
      <c r="AD15" s="471">
        <f t="shared" si="3"/>
        <v>208080</v>
      </c>
      <c r="AE15" s="471">
        <f t="shared" si="3"/>
        <v>208080</v>
      </c>
      <c r="AF15" s="471">
        <f t="shared" si="3"/>
        <v>208080</v>
      </c>
      <c r="AG15" s="471">
        <f t="shared" si="3"/>
        <v>208080</v>
      </c>
      <c r="AH15" s="471">
        <f t="shared" si="3"/>
        <v>208080</v>
      </c>
      <c r="AI15" s="471">
        <f t="shared" si="3"/>
        <v>208080</v>
      </c>
      <c r="AJ15" s="471">
        <f t="shared" si="3"/>
        <v>208080</v>
      </c>
      <c r="AK15" s="470">
        <f t="shared" si="3"/>
        <v>208080</v>
      </c>
    </row>
    <row r="16" spans="1:37">
      <c r="A16" s="452"/>
      <c r="B16" s="477" t="s">
        <v>284</v>
      </c>
      <c r="C16" s="476" t="s">
        <v>276</v>
      </c>
      <c r="D16" s="484"/>
      <c r="E16" s="529"/>
      <c r="F16" s="528"/>
      <c r="G16" s="914"/>
      <c r="H16" s="532"/>
      <c r="I16" s="531"/>
      <c r="J16" s="531"/>
      <c r="K16" s="531"/>
      <c r="L16" s="531"/>
      <c r="M16" s="531"/>
      <c r="N16" s="531"/>
      <c r="O16" s="531"/>
      <c r="P16" s="531"/>
      <c r="Q16" s="531"/>
      <c r="R16" s="531"/>
      <c r="S16" s="531"/>
      <c r="T16" s="531"/>
      <c r="U16" s="531"/>
      <c r="V16" s="531"/>
      <c r="W16" s="531"/>
      <c r="X16" s="531"/>
      <c r="Y16" s="531"/>
      <c r="Z16" s="531"/>
      <c r="AA16" s="531"/>
      <c r="AB16" s="531"/>
      <c r="AC16" s="531"/>
      <c r="AD16" s="531"/>
      <c r="AE16" s="531"/>
      <c r="AF16" s="531"/>
      <c r="AG16" s="531"/>
      <c r="AH16" s="531"/>
      <c r="AI16" s="531"/>
      <c r="AJ16" s="531"/>
      <c r="AK16" s="530"/>
    </row>
    <row r="17" spans="1:40">
      <c r="A17" s="452"/>
      <c r="B17" s="477" t="s">
        <v>287</v>
      </c>
      <c r="C17" s="476" t="s">
        <v>276</v>
      </c>
      <c r="D17" s="475">
        <v>4.6900000000000004</v>
      </c>
      <c r="E17" s="474">
        <f>C12</f>
        <v>306000</v>
      </c>
      <c r="F17" s="473">
        <f>D17*E17</f>
        <v>1435140.0000000002</v>
      </c>
      <c r="G17" s="914"/>
      <c r="H17" s="472">
        <f>$F$17*H11</f>
        <v>24397380.000000004</v>
      </c>
      <c r="I17" s="471">
        <f>$F$17*I11</f>
        <v>24397380.000000004</v>
      </c>
      <c r="J17" s="471">
        <f t="shared" ref="J17:AK17" si="4">$F$17*J11</f>
        <v>24397380.000000004</v>
      </c>
      <c r="K17" s="471">
        <f t="shared" si="4"/>
        <v>24397380.000000004</v>
      </c>
      <c r="L17" s="471">
        <f t="shared" si="4"/>
        <v>24397380.000000004</v>
      </c>
      <c r="M17" s="471">
        <f t="shared" si="4"/>
        <v>24397380.000000004</v>
      </c>
      <c r="N17" s="471">
        <f t="shared" si="4"/>
        <v>24397380.000000004</v>
      </c>
      <c r="O17" s="471">
        <f t="shared" si="4"/>
        <v>24397380.000000004</v>
      </c>
      <c r="P17" s="471">
        <f t="shared" si="4"/>
        <v>24397380.000000004</v>
      </c>
      <c r="Q17" s="471">
        <f t="shared" si="4"/>
        <v>24397380.000000004</v>
      </c>
      <c r="R17" s="471">
        <f t="shared" si="4"/>
        <v>24397380.000000004</v>
      </c>
      <c r="S17" s="471">
        <f t="shared" si="4"/>
        <v>24397380.000000004</v>
      </c>
      <c r="T17" s="471">
        <f t="shared" si="4"/>
        <v>24397380.000000004</v>
      </c>
      <c r="U17" s="471">
        <f t="shared" si="4"/>
        <v>24397380.000000004</v>
      </c>
      <c r="V17" s="471">
        <f t="shared" si="4"/>
        <v>24397380.000000004</v>
      </c>
      <c r="W17" s="471">
        <f t="shared" si="4"/>
        <v>24397380.000000004</v>
      </c>
      <c r="X17" s="471">
        <f t="shared" si="4"/>
        <v>24397380.000000004</v>
      </c>
      <c r="Y17" s="471">
        <f t="shared" si="4"/>
        <v>24397380.000000004</v>
      </c>
      <c r="Z17" s="471">
        <f t="shared" si="4"/>
        <v>24397380.000000004</v>
      </c>
      <c r="AA17" s="471">
        <f t="shared" si="4"/>
        <v>24397380.000000004</v>
      </c>
      <c r="AB17" s="471">
        <f t="shared" si="4"/>
        <v>24397380.000000004</v>
      </c>
      <c r="AC17" s="471">
        <f t="shared" si="4"/>
        <v>24397380.000000004</v>
      </c>
      <c r="AD17" s="471">
        <f t="shared" si="4"/>
        <v>24397380.000000004</v>
      </c>
      <c r="AE17" s="471">
        <f t="shared" si="4"/>
        <v>24397380.000000004</v>
      </c>
      <c r="AF17" s="471">
        <f t="shared" si="4"/>
        <v>24397380.000000004</v>
      </c>
      <c r="AG17" s="471">
        <f t="shared" si="4"/>
        <v>24397380.000000004</v>
      </c>
      <c r="AH17" s="471">
        <f t="shared" si="4"/>
        <v>24397380.000000004</v>
      </c>
      <c r="AI17" s="471">
        <f t="shared" si="4"/>
        <v>24397380.000000004</v>
      </c>
      <c r="AJ17" s="471">
        <f t="shared" si="4"/>
        <v>24397380.000000004</v>
      </c>
      <c r="AK17" s="470">
        <f t="shared" si="4"/>
        <v>24397380.000000004</v>
      </c>
    </row>
    <row r="18" spans="1:40">
      <c r="A18" s="452"/>
      <c r="B18" s="477" t="s">
        <v>520</v>
      </c>
      <c r="C18" s="476" t="s">
        <v>276</v>
      </c>
      <c r="D18" s="548">
        <v>0.1</v>
      </c>
      <c r="E18" s="474">
        <f>900*340</f>
        <v>306000</v>
      </c>
      <c r="F18" s="473">
        <f t="shared" ref="F18:F20" si="5">D18*E18</f>
        <v>30600</v>
      </c>
      <c r="G18" s="914"/>
      <c r="H18" s="472">
        <f>$F$18*H11</f>
        <v>520200</v>
      </c>
      <c r="I18" s="471">
        <f t="shared" ref="I18:AK18" si="6">$F$18*I11</f>
        <v>520200</v>
      </c>
      <c r="J18" s="471">
        <f t="shared" si="6"/>
        <v>520200</v>
      </c>
      <c r="K18" s="471">
        <f t="shared" si="6"/>
        <v>520200</v>
      </c>
      <c r="L18" s="471">
        <f t="shared" si="6"/>
        <v>520200</v>
      </c>
      <c r="M18" s="471">
        <f t="shared" si="6"/>
        <v>520200</v>
      </c>
      <c r="N18" s="471">
        <f t="shared" si="6"/>
        <v>520200</v>
      </c>
      <c r="O18" s="471">
        <f t="shared" si="6"/>
        <v>520200</v>
      </c>
      <c r="P18" s="471">
        <f t="shared" si="6"/>
        <v>520200</v>
      </c>
      <c r="Q18" s="471">
        <f t="shared" si="6"/>
        <v>520200</v>
      </c>
      <c r="R18" s="471">
        <f t="shared" si="6"/>
        <v>520200</v>
      </c>
      <c r="S18" s="471">
        <f t="shared" si="6"/>
        <v>520200</v>
      </c>
      <c r="T18" s="471">
        <f t="shared" si="6"/>
        <v>520200</v>
      </c>
      <c r="U18" s="471">
        <f t="shared" si="6"/>
        <v>520200</v>
      </c>
      <c r="V18" s="471">
        <f t="shared" si="6"/>
        <v>520200</v>
      </c>
      <c r="W18" s="471">
        <f t="shared" si="6"/>
        <v>520200</v>
      </c>
      <c r="X18" s="471">
        <f t="shared" si="6"/>
        <v>520200</v>
      </c>
      <c r="Y18" s="471">
        <f t="shared" si="6"/>
        <v>520200</v>
      </c>
      <c r="Z18" s="471">
        <f t="shared" si="6"/>
        <v>520200</v>
      </c>
      <c r="AA18" s="471">
        <f t="shared" si="6"/>
        <v>520200</v>
      </c>
      <c r="AB18" s="471">
        <f t="shared" si="6"/>
        <v>520200</v>
      </c>
      <c r="AC18" s="471">
        <f t="shared" si="6"/>
        <v>520200</v>
      </c>
      <c r="AD18" s="471">
        <f t="shared" si="6"/>
        <v>520200</v>
      </c>
      <c r="AE18" s="471">
        <f t="shared" si="6"/>
        <v>520200</v>
      </c>
      <c r="AF18" s="471">
        <f t="shared" si="6"/>
        <v>520200</v>
      </c>
      <c r="AG18" s="471">
        <f t="shared" si="6"/>
        <v>520200</v>
      </c>
      <c r="AH18" s="471">
        <f t="shared" si="6"/>
        <v>520200</v>
      </c>
      <c r="AI18" s="471">
        <f t="shared" si="6"/>
        <v>520200</v>
      </c>
      <c r="AJ18" s="471">
        <f t="shared" si="6"/>
        <v>520200</v>
      </c>
      <c r="AK18" s="470">
        <f t="shared" si="6"/>
        <v>520200</v>
      </c>
    </row>
    <row r="19" spans="1:40">
      <c r="A19" s="452"/>
      <c r="B19" s="477" t="s">
        <v>330</v>
      </c>
      <c r="C19" s="476" t="s">
        <v>276</v>
      </c>
      <c r="D19" s="475">
        <v>0.11</v>
      </c>
      <c r="E19" s="474">
        <f>900*340</f>
        <v>306000</v>
      </c>
      <c r="F19" s="473">
        <f t="shared" si="5"/>
        <v>33660</v>
      </c>
      <c r="G19" s="914"/>
      <c r="H19" s="472">
        <f>$F$19*H11</f>
        <v>572220</v>
      </c>
      <c r="I19" s="471">
        <f t="shared" ref="I19:AK19" si="7">$F$19*I11</f>
        <v>572220</v>
      </c>
      <c r="J19" s="471">
        <f t="shared" si="7"/>
        <v>572220</v>
      </c>
      <c r="K19" s="471">
        <f t="shared" si="7"/>
        <v>572220</v>
      </c>
      <c r="L19" s="471">
        <f t="shared" si="7"/>
        <v>572220</v>
      </c>
      <c r="M19" s="471">
        <f t="shared" si="7"/>
        <v>572220</v>
      </c>
      <c r="N19" s="471">
        <f t="shared" si="7"/>
        <v>572220</v>
      </c>
      <c r="O19" s="471">
        <f t="shared" si="7"/>
        <v>572220</v>
      </c>
      <c r="P19" s="471">
        <f t="shared" si="7"/>
        <v>572220</v>
      </c>
      <c r="Q19" s="471">
        <f t="shared" si="7"/>
        <v>572220</v>
      </c>
      <c r="R19" s="471">
        <f t="shared" si="7"/>
        <v>572220</v>
      </c>
      <c r="S19" s="471">
        <f t="shared" si="7"/>
        <v>572220</v>
      </c>
      <c r="T19" s="471">
        <f t="shared" si="7"/>
        <v>572220</v>
      </c>
      <c r="U19" s="471">
        <f t="shared" si="7"/>
        <v>572220</v>
      </c>
      <c r="V19" s="471">
        <f t="shared" si="7"/>
        <v>572220</v>
      </c>
      <c r="W19" s="471">
        <f t="shared" si="7"/>
        <v>572220</v>
      </c>
      <c r="X19" s="471">
        <f t="shared" si="7"/>
        <v>572220</v>
      </c>
      <c r="Y19" s="471">
        <f t="shared" si="7"/>
        <v>572220</v>
      </c>
      <c r="Z19" s="471">
        <f t="shared" si="7"/>
        <v>572220</v>
      </c>
      <c r="AA19" s="471">
        <f t="shared" si="7"/>
        <v>572220</v>
      </c>
      <c r="AB19" s="471">
        <f t="shared" si="7"/>
        <v>572220</v>
      </c>
      <c r="AC19" s="471">
        <f t="shared" si="7"/>
        <v>572220</v>
      </c>
      <c r="AD19" s="471">
        <f t="shared" si="7"/>
        <v>572220</v>
      </c>
      <c r="AE19" s="471">
        <f t="shared" si="7"/>
        <v>572220</v>
      </c>
      <c r="AF19" s="471">
        <f t="shared" si="7"/>
        <v>572220</v>
      </c>
      <c r="AG19" s="471">
        <f t="shared" si="7"/>
        <v>572220</v>
      </c>
      <c r="AH19" s="471">
        <f t="shared" si="7"/>
        <v>572220</v>
      </c>
      <c r="AI19" s="471">
        <f t="shared" si="7"/>
        <v>572220</v>
      </c>
      <c r="AJ19" s="471">
        <f t="shared" si="7"/>
        <v>572220</v>
      </c>
      <c r="AK19" s="470">
        <f t="shared" si="7"/>
        <v>572220</v>
      </c>
    </row>
    <row r="20" spans="1:40">
      <c r="A20" s="452"/>
      <c r="B20" s="477" t="s">
        <v>331</v>
      </c>
      <c r="C20" s="476" t="s">
        <v>276</v>
      </c>
      <c r="D20" s="475">
        <v>0.78</v>
      </c>
      <c r="E20" s="474">
        <f>900*340</f>
        <v>306000</v>
      </c>
      <c r="F20" s="473">
        <f t="shared" si="5"/>
        <v>238680</v>
      </c>
      <c r="G20" s="914"/>
      <c r="H20" s="472">
        <f>$F$20*H11</f>
        <v>4057560</v>
      </c>
      <c r="I20" s="471">
        <f t="shared" ref="I20:AK20" si="8">$F$20*I11</f>
        <v>4057560</v>
      </c>
      <c r="J20" s="471">
        <f t="shared" si="8"/>
        <v>4057560</v>
      </c>
      <c r="K20" s="471">
        <f t="shared" si="8"/>
        <v>4057560</v>
      </c>
      <c r="L20" s="471">
        <f t="shared" si="8"/>
        <v>4057560</v>
      </c>
      <c r="M20" s="471">
        <f t="shared" si="8"/>
        <v>4057560</v>
      </c>
      <c r="N20" s="471">
        <f t="shared" si="8"/>
        <v>4057560</v>
      </c>
      <c r="O20" s="471">
        <f t="shared" si="8"/>
        <v>4057560</v>
      </c>
      <c r="P20" s="471">
        <f t="shared" si="8"/>
        <v>4057560</v>
      </c>
      <c r="Q20" s="471">
        <f t="shared" si="8"/>
        <v>4057560</v>
      </c>
      <c r="R20" s="471">
        <f t="shared" si="8"/>
        <v>4057560</v>
      </c>
      <c r="S20" s="471">
        <f t="shared" si="8"/>
        <v>4057560</v>
      </c>
      <c r="T20" s="471">
        <f t="shared" si="8"/>
        <v>4057560</v>
      </c>
      <c r="U20" s="471">
        <f t="shared" si="8"/>
        <v>4057560</v>
      </c>
      <c r="V20" s="471">
        <f t="shared" si="8"/>
        <v>4057560</v>
      </c>
      <c r="W20" s="471">
        <f t="shared" si="8"/>
        <v>4057560</v>
      </c>
      <c r="X20" s="471">
        <f t="shared" si="8"/>
        <v>4057560</v>
      </c>
      <c r="Y20" s="471">
        <f t="shared" si="8"/>
        <v>4057560</v>
      </c>
      <c r="Z20" s="471">
        <f t="shared" si="8"/>
        <v>4057560</v>
      </c>
      <c r="AA20" s="471">
        <f t="shared" si="8"/>
        <v>4057560</v>
      </c>
      <c r="AB20" s="471">
        <f t="shared" si="8"/>
        <v>4057560</v>
      </c>
      <c r="AC20" s="471">
        <f t="shared" si="8"/>
        <v>4057560</v>
      </c>
      <c r="AD20" s="471">
        <f t="shared" si="8"/>
        <v>4057560</v>
      </c>
      <c r="AE20" s="471">
        <f t="shared" si="8"/>
        <v>4057560</v>
      </c>
      <c r="AF20" s="471">
        <f t="shared" si="8"/>
        <v>4057560</v>
      </c>
      <c r="AG20" s="471">
        <f t="shared" si="8"/>
        <v>4057560</v>
      </c>
      <c r="AH20" s="471">
        <f t="shared" si="8"/>
        <v>4057560</v>
      </c>
      <c r="AI20" s="471">
        <f t="shared" si="8"/>
        <v>4057560</v>
      </c>
      <c r="AJ20" s="471">
        <f t="shared" si="8"/>
        <v>4057560</v>
      </c>
      <c r="AK20" s="470">
        <f t="shared" si="8"/>
        <v>4057560</v>
      </c>
    </row>
    <row r="21" spans="1:40" ht="13.5" thickBot="1">
      <c r="A21" s="452"/>
      <c r="B21" s="469" t="s">
        <v>537</v>
      </c>
      <c r="C21" s="468" t="s">
        <v>276</v>
      </c>
      <c r="D21" s="467"/>
      <c r="E21" s="547"/>
      <c r="F21" s="546"/>
      <c r="G21" s="914"/>
      <c r="H21" s="464"/>
      <c r="I21" s="463"/>
      <c r="J21" s="463"/>
      <c r="K21" s="463"/>
      <c r="L21" s="463"/>
      <c r="M21" s="463"/>
      <c r="N21" s="463"/>
      <c r="O21" s="463"/>
      <c r="P21" s="463"/>
      <c r="Q21" s="463"/>
      <c r="R21" s="463"/>
      <c r="S21" s="463"/>
      <c r="T21" s="463"/>
      <c r="U21" s="463"/>
      <c r="V21" s="463"/>
      <c r="W21" s="463"/>
      <c r="X21" s="463"/>
      <c r="Y21" s="463"/>
      <c r="Z21" s="463"/>
      <c r="AA21" s="463"/>
      <c r="AB21" s="463"/>
      <c r="AC21" s="463"/>
      <c r="AD21" s="463"/>
      <c r="AE21" s="463"/>
      <c r="AF21" s="463"/>
      <c r="AG21" s="463"/>
      <c r="AH21" s="463"/>
      <c r="AI21" s="463"/>
      <c r="AJ21" s="463"/>
      <c r="AK21" s="462"/>
    </row>
    <row r="22" spans="1:40" ht="13.5" thickTop="1">
      <c r="A22" s="452"/>
      <c r="B22" s="461" t="s">
        <v>518</v>
      </c>
      <c r="C22" s="460" t="s">
        <v>276</v>
      </c>
      <c r="D22" s="459">
        <v>0.18</v>
      </c>
      <c r="E22" s="458">
        <f>900*340</f>
        <v>306000</v>
      </c>
      <c r="F22" s="457">
        <f>D22*E22</f>
        <v>55080</v>
      </c>
      <c r="G22" s="914"/>
      <c r="H22" s="455">
        <f>$F$22*H11</f>
        <v>936360</v>
      </c>
      <c r="I22" s="454">
        <f t="shared" ref="I22:AK22" si="9">$F$22*I11</f>
        <v>936360</v>
      </c>
      <c r="J22" s="454">
        <f t="shared" si="9"/>
        <v>936360</v>
      </c>
      <c r="K22" s="454">
        <f t="shared" si="9"/>
        <v>936360</v>
      </c>
      <c r="L22" s="454">
        <f t="shared" si="9"/>
        <v>936360</v>
      </c>
      <c r="M22" s="454">
        <f t="shared" si="9"/>
        <v>936360</v>
      </c>
      <c r="N22" s="454">
        <f t="shared" si="9"/>
        <v>936360</v>
      </c>
      <c r="O22" s="454">
        <f t="shared" si="9"/>
        <v>936360</v>
      </c>
      <c r="P22" s="454">
        <f t="shared" si="9"/>
        <v>936360</v>
      </c>
      <c r="Q22" s="454">
        <f t="shared" si="9"/>
        <v>936360</v>
      </c>
      <c r="R22" s="454">
        <f t="shared" si="9"/>
        <v>936360</v>
      </c>
      <c r="S22" s="454">
        <f t="shared" si="9"/>
        <v>936360</v>
      </c>
      <c r="T22" s="454">
        <f t="shared" si="9"/>
        <v>936360</v>
      </c>
      <c r="U22" s="454">
        <f t="shared" si="9"/>
        <v>936360</v>
      </c>
      <c r="V22" s="454">
        <f t="shared" si="9"/>
        <v>936360</v>
      </c>
      <c r="W22" s="454">
        <f t="shared" si="9"/>
        <v>936360</v>
      </c>
      <c r="X22" s="454">
        <f t="shared" si="9"/>
        <v>936360</v>
      </c>
      <c r="Y22" s="454">
        <f t="shared" si="9"/>
        <v>936360</v>
      </c>
      <c r="Z22" s="454">
        <f t="shared" si="9"/>
        <v>936360</v>
      </c>
      <c r="AA22" s="454">
        <f t="shared" si="9"/>
        <v>936360</v>
      </c>
      <c r="AB22" s="454">
        <f t="shared" si="9"/>
        <v>936360</v>
      </c>
      <c r="AC22" s="454">
        <f t="shared" si="9"/>
        <v>936360</v>
      </c>
      <c r="AD22" s="454">
        <f t="shared" si="9"/>
        <v>936360</v>
      </c>
      <c r="AE22" s="454">
        <f t="shared" si="9"/>
        <v>936360</v>
      </c>
      <c r="AF22" s="454">
        <f t="shared" si="9"/>
        <v>936360</v>
      </c>
      <c r="AG22" s="454">
        <f t="shared" si="9"/>
        <v>936360</v>
      </c>
      <c r="AH22" s="454">
        <f t="shared" si="9"/>
        <v>936360</v>
      </c>
      <c r="AI22" s="454">
        <f t="shared" si="9"/>
        <v>936360</v>
      </c>
      <c r="AJ22" s="454">
        <f t="shared" si="9"/>
        <v>936360</v>
      </c>
      <c r="AK22" s="453">
        <f t="shared" si="9"/>
        <v>936360</v>
      </c>
    </row>
    <row r="23" spans="1:40" ht="13.5" thickBot="1">
      <c r="A23" s="452"/>
      <c r="B23" s="516" t="s">
        <v>517</v>
      </c>
      <c r="C23" s="515" t="s">
        <v>276</v>
      </c>
      <c r="D23" s="545"/>
      <c r="E23" s="544"/>
      <c r="F23" s="543"/>
      <c r="G23" s="915"/>
      <c r="H23" s="446"/>
      <c r="I23" s="445"/>
      <c r="J23" s="445"/>
      <c r="K23" s="445"/>
      <c r="L23" s="445"/>
      <c r="M23" s="445"/>
      <c r="N23" s="445"/>
      <c r="O23" s="445"/>
      <c r="P23" s="445"/>
      <c r="Q23" s="445"/>
      <c r="R23" s="445"/>
      <c r="S23" s="445"/>
      <c r="T23" s="445"/>
      <c r="U23" s="445"/>
      <c r="V23" s="445"/>
      <c r="W23" s="445"/>
      <c r="X23" s="445"/>
      <c r="Y23" s="445"/>
      <c r="Z23" s="445"/>
      <c r="AA23" s="445"/>
      <c r="AB23" s="445"/>
      <c r="AC23" s="445"/>
      <c r="AD23" s="445"/>
      <c r="AE23" s="445"/>
      <c r="AF23" s="445"/>
      <c r="AG23" s="445"/>
      <c r="AH23" s="445"/>
      <c r="AI23" s="445"/>
      <c r="AJ23" s="445"/>
      <c r="AK23" s="444"/>
    </row>
    <row r="24" spans="1:40">
      <c r="A24" s="452"/>
      <c r="B24" s="452"/>
      <c r="C24" s="452"/>
      <c r="D24" s="452"/>
      <c r="E24" s="452"/>
      <c r="F24" s="452"/>
      <c r="G24" s="452"/>
      <c r="H24" s="508"/>
      <c r="I24" s="452"/>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row>
    <row r="25" spans="1:40" ht="13.5" thickBot="1">
      <c r="A25" s="452"/>
      <c r="B25" s="542"/>
      <c r="C25" s="542"/>
      <c r="D25" s="542"/>
      <c r="E25" s="542"/>
      <c r="F25" s="542"/>
      <c r="G25" s="542"/>
      <c r="H25" s="542"/>
      <c r="I25" s="542"/>
      <c r="J25" s="542"/>
      <c r="K25" s="542"/>
      <c r="L25" s="542"/>
      <c r="M25" s="542"/>
      <c r="N25" s="542"/>
      <c r="O25" s="542"/>
      <c r="P25" s="542"/>
      <c r="Q25" s="542"/>
      <c r="R25" s="542"/>
      <c r="S25" s="542"/>
      <c r="T25" s="542"/>
      <c r="U25" s="542"/>
      <c r="V25" s="542"/>
      <c r="W25" s="542"/>
      <c r="X25" s="542"/>
      <c r="Y25" s="542"/>
      <c r="Z25" s="542"/>
      <c r="AA25" s="542"/>
      <c r="AB25" s="542"/>
      <c r="AC25" s="542"/>
      <c r="AD25" s="542"/>
      <c r="AE25" s="542"/>
      <c r="AF25" s="542"/>
      <c r="AG25" s="542"/>
      <c r="AH25" s="542"/>
      <c r="AI25" s="542"/>
      <c r="AJ25" s="542"/>
      <c r="AK25" s="542"/>
    </row>
    <row r="26" spans="1:40">
      <c r="A26" s="452"/>
      <c r="B26" s="892" t="s">
        <v>536</v>
      </c>
      <c r="C26" s="507" t="s">
        <v>535</v>
      </c>
      <c r="D26" s="894" t="s">
        <v>531</v>
      </c>
      <c r="E26" s="894" t="s">
        <v>530</v>
      </c>
      <c r="F26" s="897" t="s">
        <v>529</v>
      </c>
      <c r="G26" s="506" t="s">
        <v>528</v>
      </c>
      <c r="H26" s="505">
        <v>2023</v>
      </c>
      <c r="I26" s="504">
        <f>H26+1</f>
        <v>2024</v>
      </c>
      <c r="J26" s="504">
        <f>I26+1</f>
        <v>2025</v>
      </c>
      <c r="K26" s="504">
        <f t="shared" ref="K26:AI26" si="10">J26+1</f>
        <v>2026</v>
      </c>
      <c r="L26" s="504">
        <f t="shared" si="10"/>
        <v>2027</v>
      </c>
      <c r="M26" s="504">
        <f t="shared" si="10"/>
        <v>2028</v>
      </c>
      <c r="N26" s="504">
        <f t="shared" si="10"/>
        <v>2029</v>
      </c>
      <c r="O26" s="504">
        <f t="shared" si="10"/>
        <v>2030</v>
      </c>
      <c r="P26" s="504">
        <f t="shared" si="10"/>
        <v>2031</v>
      </c>
      <c r="Q26" s="504">
        <f t="shared" si="10"/>
        <v>2032</v>
      </c>
      <c r="R26" s="504">
        <f t="shared" si="10"/>
        <v>2033</v>
      </c>
      <c r="S26" s="504">
        <f t="shared" si="10"/>
        <v>2034</v>
      </c>
      <c r="T26" s="504">
        <f t="shared" si="10"/>
        <v>2035</v>
      </c>
      <c r="U26" s="504">
        <f t="shared" si="10"/>
        <v>2036</v>
      </c>
      <c r="V26" s="504">
        <f t="shared" si="10"/>
        <v>2037</v>
      </c>
      <c r="W26" s="504">
        <f t="shared" si="10"/>
        <v>2038</v>
      </c>
      <c r="X26" s="504">
        <f t="shared" si="10"/>
        <v>2039</v>
      </c>
      <c r="Y26" s="504">
        <f t="shared" si="10"/>
        <v>2040</v>
      </c>
      <c r="Z26" s="504">
        <f t="shared" si="10"/>
        <v>2041</v>
      </c>
      <c r="AA26" s="504">
        <f t="shared" si="10"/>
        <v>2042</v>
      </c>
      <c r="AB26" s="504">
        <f t="shared" si="10"/>
        <v>2043</v>
      </c>
      <c r="AC26" s="504">
        <f t="shared" si="10"/>
        <v>2044</v>
      </c>
      <c r="AD26" s="504">
        <f t="shared" si="10"/>
        <v>2045</v>
      </c>
      <c r="AE26" s="504">
        <f t="shared" si="10"/>
        <v>2046</v>
      </c>
      <c r="AF26" s="504">
        <f t="shared" si="10"/>
        <v>2047</v>
      </c>
      <c r="AG26" s="504">
        <f t="shared" si="10"/>
        <v>2048</v>
      </c>
      <c r="AH26" s="504">
        <f t="shared" si="10"/>
        <v>2049</v>
      </c>
      <c r="AI26" s="504">
        <f t="shared" si="10"/>
        <v>2050</v>
      </c>
      <c r="AJ26" s="504">
        <f>AI26+1</f>
        <v>2051</v>
      </c>
      <c r="AK26" s="504">
        <f>AJ26+1</f>
        <v>2052</v>
      </c>
    </row>
    <row r="27" spans="1:40">
      <c r="A27" s="452"/>
      <c r="B27" s="893"/>
      <c r="C27" s="503" t="s">
        <v>534</v>
      </c>
      <c r="D27" s="895"/>
      <c r="E27" s="895"/>
      <c r="F27" s="898"/>
      <c r="G27" s="502" t="s">
        <v>526</v>
      </c>
      <c r="H27" s="541">
        <v>10</v>
      </c>
      <c r="I27" s="501">
        <v>10</v>
      </c>
      <c r="J27" s="501">
        <v>10</v>
      </c>
      <c r="K27" s="501">
        <v>10</v>
      </c>
      <c r="L27" s="501">
        <v>10</v>
      </c>
      <c r="M27" s="501">
        <v>10</v>
      </c>
      <c r="N27" s="501">
        <v>10</v>
      </c>
      <c r="O27" s="501">
        <v>10</v>
      </c>
      <c r="P27" s="501">
        <v>10</v>
      </c>
      <c r="Q27" s="501">
        <v>10</v>
      </c>
      <c r="R27" s="501">
        <v>10</v>
      </c>
      <c r="S27" s="501">
        <v>10</v>
      </c>
      <c r="T27" s="501">
        <v>10</v>
      </c>
      <c r="U27" s="501">
        <v>10</v>
      </c>
      <c r="V27" s="501">
        <v>10</v>
      </c>
      <c r="W27" s="501">
        <v>10</v>
      </c>
      <c r="X27" s="501">
        <v>10</v>
      </c>
      <c r="Y27" s="501">
        <v>10</v>
      </c>
      <c r="Z27" s="501">
        <v>10</v>
      </c>
      <c r="AA27" s="501">
        <v>10</v>
      </c>
      <c r="AB27" s="501">
        <v>10</v>
      </c>
      <c r="AC27" s="501">
        <v>10</v>
      </c>
      <c r="AD27" s="501">
        <v>10</v>
      </c>
      <c r="AE27" s="501">
        <v>10</v>
      </c>
      <c r="AF27" s="501">
        <v>10</v>
      </c>
      <c r="AG27" s="501">
        <v>10</v>
      </c>
      <c r="AH27" s="501">
        <v>10</v>
      </c>
      <c r="AI27" s="501">
        <v>10</v>
      </c>
      <c r="AJ27" s="501">
        <v>10</v>
      </c>
      <c r="AK27" s="501">
        <v>10</v>
      </c>
    </row>
    <row r="28" spans="1:40" ht="13.5" thickBot="1">
      <c r="A28" s="485"/>
      <c r="B28" s="500" t="s">
        <v>525</v>
      </c>
      <c r="C28" s="499">
        <f>350*1000</f>
        <v>350000</v>
      </c>
      <c r="D28" s="896"/>
      <c r="E28" s="896"/>
      <c r="F28" s="899"/>
      <c r="G28" s="498" t="s">
        <v>524</v>
      </c>
      <c r="H28" s="540">
        <v>10</v>
      </c>
      <c r="I28" s="497">
        <v>10</v>
      </c>
      <c r="J28" s="497">
        <v>10</v>
      </c>
      <c r="K28" s="497">
        <v>10</v>
      </c>
      <c r="L28" s="497">
        <v>10</v>
      </c>
      <c r="M28" s="497">
        <v>10</v>
      </c>
      <c r="N28" s="497">
        <v>10</v>
      </c>
      <c r="O28" s="497">
        <v>10</v>
      </c>
      <c r="P28" s="497">
        <v>10</v>
      </c>
      <c r="Q28" s="497">
        <v>10</v>
      </c>
      <c r="R28" s="497">
        <v>10</v>
      </c>
      <c r="S28" s="497">
        <v>10</v>
      </c>
      <c r="T28" s="497">
        <v>10</v>
      </c>
      <c r="U28" s="497">
        <v>10</v>
      </c>
      <c r="V28" s="497">
        <v>10</v>
      </c>
      <c r="W28" s="497">
        <v>10</v>
      </c>
      <c r="X28" s="497">
        <v>10</v>
      </c>
      <c r="Y28" s="497">
        <v>10</v>
      </c>
      <c r="Z28" s="497">
        <v>10</v>
      </c>
      <c r="AA28" s="497">
        <v>10</v>
      </c>
      <c r="AB28" s="497">
        <v>10</v>
      </c>
      <c r="AC28" s="497">
        <v>10</v>
      </c>
      <c r="AD28" s="497">
        <v>10</v>
      </c>
      <c r="AE28" s="497">
        <v>10</v>
      </c>
      <c r="AF28" s="497">
        <v>10</v>
      </c>
      <c r="AG28" s="497">
        <v>10</v>
      </c>
      <c r="AH28" s="497">
        <v>10</v>
      </c>
      <c r="AI28" s="497">
        <v>10</v>
      </c>
      <c r="AJ28" s="497">
        <v>10</v>
      </c>
      <c r="AK28" s="497">
        <v>10</v>
      </c>
    </row>
    <row r="29" spans="1:40">
      <c r="A29" s="452"/>
      <c r="B29" s="496" t="s">
        <v>523</v>
      </c>
      <c r="C29" s="495" t="s">
        <v>276</v>
      </c>
      <c r="D29" s="539"/>
      <c r="E29" s="539"/>
      <c r="F29" s="538"/>
      <c r="G29" s="902"/>
      <c r="H29" s="537"/>
      <c r="I29" s="536"/>
      <c r="J29" s="536"/>
      <c r="K29" s="536"/>
      <c r="L29" s="536"/>
      <c r="M29" s="536"/>
      <c r="N29" s="536"/>
      <c r="O29" s="536"/>
      <c r="P29" s="536"/>
      <c r="Q29" s="536"/>
      <c r="R29" s="536"/>
      <c r="S29" s="536"/>
      <c r="T29" s="536"/>
      <c r="U29" s="536"/>
      <c r="V29" s="536"/>
      <c r="W29" s="536"/>
      <c r="X29" s="536"/>
      <c r="Y29" s="536"/>
      <c r="Z29" s="536"/>
      <c r="AA29" s="536"/>
      <c r="AB29" s="536"/>
      <c r="AC29" s="536"/>
      <c r="AD29" s="536"/>
      <c r="AE29" s="536"/>
      <c r="AF29" s="536"/>
      <c r="AG29" s="536"/>
      <c r="AH29" s="536"/>
      <c r="AI29" s="536"/>
      <c r="AJ29" s="536"/>
      <c r="AK29" s="535"/>
    </row>
    <row r="30" spans="1:40">
      <c r="A30" s="452"/>
      <c r="B30" s="477" t="s">
        <v>522</v>
      </c>
      <c r="C30" s="476" t="s">
        <v>276</v>
      </c>
      <c r="D30" s="534"/>
      <c r="E30" s="534"/>
      <c r="F30" s="533"/>
      <c r="G30" s="902"/>
      <c r="H30" s="532"/>
      <c r="I30" s="531"/>
      <c r="J30" s="531"/>
      <c r="K30" s="531"/>
      <c r="L30" s="531"/>
      <c r="M30" s="531"/>
      <c r="N30" s="531"/>
      <c r="O30" s="531"/>
      <c r="P30" s="531"/>
      <c r="Q30" s="531"/>
      <c r="R30" s="531"/>
      <c r="S30" s="531"/>
      <c r="T30" s="531"/>
      <c r="U30" s="531"/>
      <c r="V30" s="531"/>
      <c r="W30" s="531"/>
      <c r="X30" s="531"/>
      <c r="Y30" s="531"/>
      <c r="Z30" s="531"/>
      <c r="AA30" s="531"/>
      <c r="AB30" s="531"/>
      <c r="AC30" s="531"/>
      <c r="AD30" s="531"/>
      <c r="AE30" s="531"/>
      <c r="AF30" s="531"/>
      <c r="AG30" s="531"/>
      <c r="AH30" s="531"/>
      <c r="AI30" s="531"/>
      <c r="AJ30" s="531"/>
      <c r="AK30" s="530"/>
      <c r="AL30" s="429"/>
      <c r="AM30" s="429"/>
      <c r="AN30" s="429"/>
    </row>
    <row r="31" spans="1:40" s="429" customFormat="1">
      <c r="A31" s="452"/>
      <c r="B31" s="477" t="s">
        <v>521</v>
      </c>
      <c r="C31" s="476" t="s">
        <v>276</v>
      </c>
      <c r="D31" s="475">
        <v>0.04</v>
      </c>
      <c r="E31" s="474">
        <v>350000</v>
      </c>
      <c r="F31" s="473">
        <f>D31*E31</f>
        <v>14000</v>
      </c>
      <c r="G31" s="902"/>
      <c r="H31" s="472">
        <f>$F$31*H27</f>
        <v>140000</v>
      </c>
      <c r="I31" s="471">
        <f t="shared" ref="I31:AK31" si="11">$F$31*I27</f>
        <v>140000</v>
      </c>
      <c r="J31" s="471">
        <f t="shared" si="11"/>
        <v>140000</v>
      </c>
      <c r="K31" s="471">
        <f t="shared" si="11"/>
        <v>140000</v>
      </c>
      <c r="L31" s="471">
        <f t="shared" si="11"/>
        <v>140000</v>
      </c>
      <c r="M31" s="471">
        <f t="shared" si="11"/>
        <v>140000</v>
      </c>
      <c r="N31" s="471">
        <f t="shared" si="11"/>
        <v>140000</v>
      </c>
      <c r="O31" s="471">
        <f t="shared" si="11"/>
        <v>140000</v>
      </c>
      <c r="P31" s="471">
        <f t="shared" si="11"/>
        <v>140000</v>
      </c>
      <c r="Q31" s="471">
        <f t="shared" si="11"/>
        <v>140000</v>
      </c>
      <c r="R31" s="471">
        <f t="shared" si="11"/>
        <v>140000</v>
      </c>
      <c r="S31" s="471">
        <f t="shared" si="11"/>
        <v>140000</v>
      </c>
      <c r="T31" s="471">
        <f t="shared" si="11"/>
        <v>140000</v>
      </c>
      <c r="U31" s="471">
        <f t="shared" si="11"/>
        <v>140000</v>
      </c>
      <c r="V31" s="471">
        <f t="shared" si="11"/>
        <v>140000</v>
      </c>
      <c r="W31" s="471">
        <f t="shared" si="11"/>
        <v>140000</v>
      </c>
      <c r="X31" s="471">
        <f t="shared" si="11"/>
        <v>140000</v>
      </c>
      <c r="Y31" s="471">
        <f t="shared" si="11"/>
        <v>140000</v>
      </c>
      <c r="Z31" s="471">
        <f t="shared" si="11"/>
        <v>140000</v>
      </c>
      <c r="AA31" s="471">
        <f t="shared" si="11"/>
        <v>140000</v>
      </c>
      <c r="AB31" s="471">
        <f t="shared" si="11"/>
        <v>140000</v>
      </c>
      <c r="AC31" s="471">
        <f t="shared" si="11"/>
        <v>140000</v>
      </c>
      <c r="AD31" s="471">
        <f t="shared" si="11"/>
        <v>140000</v>
      </c>
      <c r="AE31" s="471">
        <f t="shared" si="11"/>
        <v>140000</v>
      </c>
      <c r="AF31" s="471">
        <f t="shared" si="11"/>
        <v>140000</v>
      </c>
      <c r="AG31" s="471">
        <f t="shared" si="11"/>
        <v>140000</v>
      </c>
      <c r="AH31" s="471">
        <f t="shared" si="11"/>
        <v>140000</v>
      </c>
      <c r="AI31" s="471">
        <f t="shared" si="11"/>
        <v>140000</v>
      </c>
      <c r="AJ31" s="471">
        <f t="shared" si="11"/>
        <v>140000</v>
      </c>
      <c r="AK31" s="470">
        <f t="shared" si="11"/>
        <v>140000</v>
      </c>
      <c r="AL31" s="428"/>
      <c r="AM31" s="428"/>
      <c r="AN31" s="428"/>
    </row>
    <row r="32" spans="1:40">
      <c r="A32" s="452"/>
      <c r="B32" s="477" t="s">
        <v>284</v>
      </c>
      <c r="C32" s="476" t="s">
        <v>276</v>
      </c>
      <c r="D32" s="484"/>
      <c r="E32" s="529"/>
      <c r="F32" s="528"/>
      <c r="G32" s="902"/>
      <c r="H32" s="532"/>
      <c r="I32" s="531"/>
      <c r="J32" s="531"/>
      <c r="K32" s="531"/>
      <c r="L32" s="531"/>
      <c r="M32" s="531"/>
      <c r="N32" s="531"/>
      <c r="O32" s="531"/>
      <c r="P32" s="531"/>
      <c r="Q32" s="531"/>
      <c r="R32" s="531"/>
      <c r="S32" s="531"/>
      <c r="T32" s="531"/>
      <c r="U32" s="531"/>
      <c r="V32" s="531"/>
      <c r="W32" s="531"/>
      <c r="X32" s="531"/>
      <c r="Y32" s="531"/>
      <c r="Z32" s="531"/>
      <c r="AA32" s="531"/>
      <c r="AB32" s="531"/>
      <c r="AC32" s="531"/>
      <c r="AD32" s="531"/>
      <c r="AE32" s="531"/>
      <c r="AF32" s="531"/>
      <c r="AG32" s="531"/>
      <c r="AH32" s="531"/>
      <c r="AI32" s="531"/>
      <c r="AJ32" s="531"/>
      <c r="AK32" s="530"/>
    </row>
    <row r="33" spans="1:38">
      <c r="A33" s="452"/>
      <c r="B33" s="477" t="s">
        <v>287</v>
      </c>
      <c r="C33" s="476" t="s">
        <v>276</v>
      </c>
      <c r="D33" s="475">
        <v>4.6900000000000004</v>
      </c>
      <c r="E33" s="474">
        <v>350000</v>
      </c>
      <c r="F33" s="473">
        <f>D33*E33</f>
        <v>1641500.0000000002</v>
      </c>
      <c r="G33" s="902"/>
      <c r="H33" s="472">
        <f>$F$33*H27</f>
        <v>16415000.000000002</v>
      </c>
      <c r="I33" s="471">
        <f t="shared" ref="I33:AK33" si="12">$F$33*I27</f>
        <v>16415000.000000002</v>
      </c>
      <c r="J33" s="471">
        <f t="shared" si="12"/>
        <v>16415000.000000002</v>
      </c>
      <c r="K33" s="471">
        <f t="shared" si="12"/>
        <v>16415000.000000002</v>
      </c>
      <c r="L33" s="471">
        <f t="shared" si="12"/>
        <v>16415000.000000002</v>
      </c>
      <c r="M33" s="471">
        <f t="shared" si="12"/>
        <v>16415000.000000002</v>
      </c>
      <c r="N33" s="471">
        <f t="shared" si="12"/>
        <v>16415000.000000002</v>
      </c>
      <c r="O33" s="471">
        <f t="shared" si="12"/>
        <v>16415000.000000002</v>
      </c>
      <c r="P33" s="471">
        <f t="shared" si="12"/>
        <v>16415000.000000002</v>
      </c>
      <c r="Q33" s="471">
        <f t="shared" si="12"/>
        <v>16415000.000000002</v>
      </c>
      <c r="R33" s="471">
        <f t="shared" si="12"/>
        <v>16415000.000000002</v>
      </c>
      <c r="S33" s="471">
        <f t="shared" si="12"/>
        <v>16415000.000000002</v>
      </c>
      <c r="T33" s="471">
        <f t="shared" si="12"/>
        <v>16415000.000000002</v>
      </c>
      <c r="U33" s="471">
        <f t="shared" si="12"/>
        <v>16415000.000000002</v>
      </c>
      <c r="V33" s="471">
        <f t="shared" si="12"/>
        <v>16415000.000000002</v>
      </c>
      <c r="W33" s="471">
        <f t="shared" si="12"/>
        <v>16415000.000000002</v>
      </c>
      <c r="X33" s="471">
        <f t="shared" si="12"/>
        <v>16415000.000000002</v>
      </c>
      <c r="Y33" s="471">
        <f t="shared" si="12"/>
        <v>16415000.000000002</v>
      </c>
      <c r="Z33" s="471">
        <f t="shared" si="12"/>
        <v>16415000.000000002</v>
      </c>
      <c r="AA33" s="471">
        <f t="shared" si="12"/>
        <v>16415000.000000002</v>
      </c>
      <c r="AB33" s="471">
        <f t="shared" si="12"/>
        <v>16415000.000000002</v>
      </c>
      <c r="AC33" s="471">
        <f t="shared" si="12"/>
        <v>16415000.000000002</v>
      </c>
      <c r="AD33" s="471">
        <f t="shared" si="12"/>
        <v>16415000.000000002</v>
      </c>
      <c r="AE33" s="471">
        <f t="shared" si="12"/>
        <v>16415000.000000002</v>
      </c>
      <c r="AF33" s="471">
        <f t="shared" si="12"/>
        <v>16415000.000000002</v>
      </c>
      <c r="AG33" s="471">
        <f t="shared" si="12"/>
        <v>16415000.000000002</v>
      </c>
      <c r="AH33" s="471">
        <f t="shared" si="12"/>
        <v>16415000.000000002</v>
      </c>
      <c r="AI33" s="471">
        <f t="shared" si="12"/>
        <v>16415000.000000002</v>
      </c>
      <c r="AJ33" s="471">
        <f t="shared" si="12"/>
        <v>16415000.000000002</v>
      </c>
      <c r="AK33" s="470">
        <f t="shared" si="12"/>
        <v>16415000.000000002</v>
      </c>
    </row>
    <row r="34" spans="1:38">
      <c r="A34" s="452"/>
      <c r="B34" s="477" t="s">
        <v>520</v>
      </c>
      <c r="C34" s="476" t="s">
        <v>276</v>
      </c>
      <c r="D34" s="484"/>
      <c r="E34" s="529"/>
      <c r="F34" s="528"/>
      <c r="G34" s="902"/>
      <c r="H34" s="481"/>
      <c r="I34" s="480"/>
      <c r="J34" s="480"/>
      <c r="K34" s="480"/>
      <c r="L34" s="480"/>
      <c r="M34" s="480"/>
      <c r="N34" s="480"/>
      <c r="O34" s="480"/>
      <c r="P34" s="480"/>
      <c r="Q34" s="480"/>
      <c r="R34" s="480"/>
      <c r="S34" s="480"/>
      <c r="T34" s="480"/>
      <c r="U34" s="480"/>
      <c r="V34" s="480"/>
      <c r="W34" s="480"/>
      <c r="X34" s="480"/>
      <c r="Y34" s="480"/>
      <c r="Z34" s="480"/>
      <c r="AA34" s="480"/>
      <c r="AB34" s="480"/>
      <c r="AC34" s="480"/>
      <c r="AD34" s="480"/>
      <c r="AE34" s="480"/>
      <c r="AF34" s="480"/>
      <c r="AG34" s="480"/>
      <c r="AH34" s="480"/>
      <c r="AI34" s="480"/>
      <c r="AJ34" s="480"/>
      <c r="AK34" s="479"/>
    </row>
    <row r="35" spans="1:38">
      <c r="A35" s="452"/>
      <c r="B35" s="477" t="s">
        <v>330</v>
      </c>
      <c r="C35" s="476" t="s">
        <v>276</v>
      </c>
      <c r="D35" s="475">
        <v>0.11</v>
      </c>
      <c r="E35" s="474">
        <v>350000</v>
      </c>
      <c r="F35" s="473">
        <f t="shared" ref="F35:F36" si="13">D35*E35</f>
        <v>38500</v>
      </c>
      <c r="G35" s="902"/>
      <c r="H35" s="472">
        <f>$F$35*H27</f>
        <v>385000</v>
      </c>
      <c r="I35" s="471">
        <f t="shared" ref="I35:AK35" si="14">$F$35*I27</f>
        <v>385000</v>
      </c>
      <c r="J35" s="471">
        <f t="shared" si="14"/>
        <v>385000</v>
      </c>
      <c r="K35" s="471">
        <f t="shared" si="14"/>
        <v>385000</v>
      </c>
      <c r="L35" s="471">
        <f t="shared" si="14"/>
        <v>385000</v>
      </c>
      <c r="M35" s="471">
        <f t="shared" si="14"/>
        <v>385000</v>
      </c>
      <c r="N35" s="471">
        <f t="shared" si="14"/>
        <v>385000</v>
      </c>
      <c r="O35" s="471">
        <f t="shared" si="14"/>
        <v>385000</v>
      </c>
      <c r="P35" s="471">
        <f t="shared" si="14"/>
        <v>385000</v>
      </c>
      <c r="Q35" s="471">
        <f t="shared" si="14"/>
        <v>385000</v>
      </c>
      <c r="R35" s="471">
        <f t="shared" si="14"/>
        <v>385000</v>
      </c>
      <c r="S35" s="471">
        <f t="shared" si="14"/>
        <v>385000</v>
      </c>
      <c r="T35" s="471">
        <f t="shared" si="14"/>
        <v>385000</v>
      </c>
      <c r="U35" s="471">
        <f t="shared" si="14"/>
        <v>385000</v>
      </c>
      <c r="V35" s="471">
        <f t="shared" si="14"/>
        <v>385000</v>
      </c>
      <c r="W35" s="471">
        <f t="shared" si="14"/>
        <v>385000</v>
      </c>
      <c r="X35" s="471">
        <f t="shared" si="14"/>
        <v>385000</v>
      </c>
      <c r="Y35" s="471">
        <f t="shared" si="14"/>
        <v>385000</v>
      </c>
      <c r="Z35" s="471">
        <f t="shared" si="14"/>
        <v>385000</v>
      </c>
      <c r="AA35" s="471">
        <f t="shared" si="14"/>
        <v>385000</v>
      </c>
      <c r="AB35" s="471">
        <f t="shared" si="14"/>
        <v>385000</v>
      </c>
      <c r="AC35" s="471">
        <f t="shared" si="14"/>
        <v>385000</v>
      </c>
      <c r="AD35" s="471">
        <f t="shared" si="14"/>
        <v>385000</v>
      </c>
      <c r="AE35" s="471">
        <f t="shared" si="14"/>
        <v>385000</v>
      </c>
      <c r="AF35" s="471">
        <f t="shared" si="14"/>
        <v>385000</v>
      </c>
      <c r="AG35" s="471">
        <f t="shared" si="14"/>
        <v>385000</v>
      </c>
      <c r="AH35" s="471">
        <f t="shared" si="14"/>
        <v>385000</v>
      </c>
      <c r="AI35" s="471">
        <f t="shared" si="14"/>
        <v>385000</v>
      </c>
      <c r="AJ35" s="471">
        <f t="shared" si="14"/>
        <v>385000</v>
      </c>
      <c r="AK35" s="470">
        <f t="shared" si="14"/>
        <v>385000</v>
      </c>
    </row>
    <row r="36" spans="1:38">
      <c r="A36" s="452"/>
      <c r="B36" s="477" t="s">
        <v>331</v>
      </c>
      <c r="C36" s="476" t="s">
        <v>276</v>
      </c>
      <c r="D36" s="475">
        <v>0.78</v>
      </c>
      <c r="E36" s="474">
        <v>350000</v>
      </c>
      <c r="F36" s="473">
        <f t="shared" si="13"/>
        <v>273000</v>
      </c>
      <c r="G36" s="902"/>
      <c r="H36" s="472">
        <f>$F$36*H27</f>
        <v>2730000</v>
      </c>
      <c r="I36" s="471">
        <f t="shared" ref="I36:AK36" si="15">$F$36*I27</f>
        <v>2730000</v>
      </c>
      <c r="J36" s="471">
        <f t="shared" si="15"/>
        <v>2730000</v>
      </c>
      <c r="K36" s="471">
        <f t="shared" si="15"/>
        <v>2730000</v>
      </c>
      <c r="L36" s="471">
        <f t="shared" si="15"/>
        <v>2730000</v>
      </c>
      <c r="M36" s="471">
        <f t="shared" si="15"/>
        <v>2730000</v>
      </c>
      <c r="N36" s="471">
        <f t="shared" si="15"/>
        <v>2730000</v>
      </c>
      <c r="O36" s="471">
        <f t="shared" si="15"/>
        <v>2730000</v>
      </c>
      <c r="P36" s="471">
        <f t="shared" si="15"/>
        <v>2730000</v>
      </c>
      <c r="Q36" s="471">
        <f t="shared" si="15"/>
        <v>2730000</v>
      </c>
      <c r="R36" s="471">
        <f t="shared" si="15"/>
        <v>2730000</v>
      </c>
      <c r="S36" s="471">
        <f t="shared" si="15"/>
        <v>2730000</v>
      </c>
      <c r="T36" s="471">
        <f t="shared" si="15"/>
        <v>2730000</v>
      </c>
      <c r="U36" s="471">
        <f t="shared" si="15"/>
        <v>2730000</v>
      </c>
      <c r="V36" s="471">
        <f t="shared" si="15"/>
        <v>2730000</v>
      </c>
      <c r="W36" s="471">
        <f t="shared" si="15"/>
        <v>2730000</v>
      </c>
      <c r="X36" s="471">
        <f t="shared" si="15"/>
        <v>2730000</v>
      </c>
      <c r="Y36" s="471">
        <f t="shared" si="15"/>
        <v>2730000</v>
      </c>
      <c r="Z36" s="471">
        <f t="shared" si="15"/>
        <v>2730000</v>
      </c>
      <c r="AA36" s="471">
        <f t="shared" si="15"/>
        <v>2730000</v>
      </c>
      <c r="AB36" s="471">
        <f t="shared" si="15"/>
        <v>2730000</v>
      </c>
      <c r="AC36" s="471">
        <f t="shared" si="15"/>
        <v>2730000</v>
      </c>
      <c r="AD36" s="471">
        <f t="shared" si="15"/>
        <v>2730000</v>
      </c>
      <c r="AE36" s="471">
        <f t="shared" si="15"/>
        <v>2730000</v>
      </c>
      <c r="AF36" s="471">
        <f t="shared" si="15"/>
        <v>2730000</v>
      </c>
      <c r="AG36" s="471">
        <f t="shared" si="15"/>
        <v>2730000</v>
      </c>
      <c r="AH36" s="471">
        <f t="shared" si="15"/>
        <v>2730000</v>
      </c>
      <c r="AI36" s="471">
        <f t="shared" si="15"/>
        <v>2730000</v>
      </c>
      <c r="AJ36" s="471">
        <f t="shared" si="15"/>
        <v>2730000</v>
      </c>
      <c r="AK36" s="470">
        <f t="shared" si="15"/>
        <v>2730000</v>
      </c>
    </row>
    <row r="37" spans="1:38" ht="13.5" thickBot="1">
      <c r="A37" s="452"/>
      <c r="B37" s="469" t="s">
        <v>519</v>
      </c>
      <c r="C37" s="468" t="s">
        <v>276</v>
      </c>
      <c r="D37" s="527">
        <v>2</v>
      </c>
      <c r="E37" s="526">
        <v>350000</v>
      </c>
      <c r="F37" s="525">
        <f>D37*E37</f>
        <v>700000</v>
      </c>
      <c r="G37" s="902"/>
      <c r="H37" s="524">
        <f>$F$37*H27</f>
        <v>7000000</v>
      </c>
      <c r="I37" s="523">
        <f t="shared" ref="I37:AK37" si="16">$F$37*I27</f>
        <v>7000000</v>
      </c>
      <c r="J37" s="523">
        <f t="shared" si="16"/>
        <v>7000000</v>
      </c>
      <c r="K37" s="523">
        <f t="shared" si="16"/>
        <v>7000000</v>
      </c>
      <c r="L37" s="523">
        <f t="shared" si="16"/>
        <v>7000000</v>
      </c>
      <c r="M37" s="523">
        <f t="shared" si="16"/>
        <v>7000000</v>
      </c>
      <c r="N37" s="523">
        <f t="shared" si="16"/>
        <v>7000000</v>
      </c>
      <c r="O37" s="523">
        <f t="shared" si="16"/>
        <v>7000000</v>
      </c>
      <c r="P37" s="523">
        <f t="shared" si="16"/>
        <v>7000000</v>
      </c>
      <c r="Q37" s="523">
        <f t="shared" si="16"/>
        <v>7000000</v>
      </c>
      <c r="R37" s="523">
        <f t="shared" si="16"/>
        <v>7000000</v>
      </c>
      <c r="S37" s="523">
        <f t="shared" si="16"/>
        <v>7000000</v>
      </c>
      <c r="T37" s="523">
        <f t="shared" si="16"/>
        <v>7000000</v>
      </c>
      <c r="U37" s="523">
        <f t="shared" si="16"/>
        <v>7000000</v>
      </c>
      <c r="V37" s="523">
        <f t="shared" si="16"/>
        <v>7000000</v>
      </c>
      <c r="W37" s="523">
        <f t="shared" si="16"/>
        <v>7000000</v>
      </c>
      <c r="X37" s="523">
        <f t="shared" si="16"/>
        <v>7000000</v>
      </c>
      <c r="Y37" s="523">
        <f t="shared" si="16"/>
        <v>7000000</v>
      </c>
      <c r="Z37" s="523">
        <f t="shared" si="16"/>
        <v>7000000</v>
      </c>
      <c r="AA37" s="523">
        <f t="shared" si="16"/>
        <v>7000000</v>
      </c>
      <c r="AB37" s="523">
        <f t="shared" si="16"/>
        <v>7000000</v>
      </c>
      <c r="AC37" s="523">
        <f t="shared" si="16"/>
        <v>7000000</v>
      </c>
      <c r="AD37" s="523">
        <f t="shared" si="16"/>
        <v>7000000</v>
      </c>
      <c r="AE37" s="523">
        <f t="shared" si="16"/>
        <v>7000000</v>
      </c>
      <c r="AF37" s="523">
        <f t="shared" si="16"/>
        <v>7000000</v>
      </c>
      <c r="AG37" s="523">
        <f t="shared" si="16"/>
        <v>7000000</v>
      </c>
      <c r="AH37" s="523">
        <f t="shared" si="16"/>
        <v>7000000</v>
      </c>
      <c r="AI37" s="523">
        <f t="shared" si="16"/>
        <v>7000000</v>
      </c>
      <c r="AJ37" s="523">
        <f t="shared" si="16"/>
        <v>7000000</v>
      </c>
      <c r="AK37" s="522">
        <f t="shared" si="16"/>
        <v>7000000</v>
      </c>
    </row>
    <row r="38" spans="1:38" ht="13.5" thickTop="1">
      <c r="A38" s="452"/>
      <c r="B38" s="461" t="s">
        <v>518</v>
      </c>
      <c r="C38" s="460" t="s">
        <v>276</v>
      </c>
      <c r="D38" s="521"/>
      <c r="E38" s="521"/>
      <c r="F38" s="517"/>
      <c r="G38" s="902"/>
      <c r="H38" s="519"/>
      <c r="I38" s="518"/>
      <c r="J38" s="518"/>
      <c r="K38" s="518"/>
      <c r="L38" s="518"/>
      <c r="M38" s="518"/>
      <c r="N38" s="518"/>
      <c r="O38" s="518"/>
      <c r="P38" s="518"/>
      <c r="Q38" s="518"/>
      <c r="R38" s="518"/>
      <c r="S38" s="518"/>
      <c r="T38" s="518"/>
      <c r="U38" s="518"/>
      <c r="V38" s="518"/>
      <c r="W38" s="518"/>
      <c r="X38" s="518"/>
      <c r="Y38" s="518"/>
      <c r="Z38" s="518"/>
      <c r="AA38" s="518"/>
      <c r="AB38" s="518"/>
      <c r="AC38" s="518"/>
      <c r="AD38" s="518"/>
      <c r="AE38" s="518"/>
      <c r="AF38" s="518"/>
      <c r="AG38" s="518"/>
      <c r="AH38" s="518"/>
      <c r="AI38" s="518"/>
      <c r="AJ38" s="518"/>
      <c r="AK38" s="517"/>
    </row>
    <row r="39" spans="1:38" ht="13.5" thickBot="1">
      <c r="A39" s="452"/>
      <c r="B39" s="516" t="s">
        <v>517</v>
      </c>
      <c r="C39" s="515" t="s">
        <v>276</v>
      </c>
      <c r="D39" s="514">
        <v>40000</v>
      </c>
      <c r="E39" s="513">
        <v>1</v>
      </c>
      <c r="F39" s="512">
        <f>D39*E39</f>
        <v>40000</v>
      </c>
      <c r="G39" s="903"/>
      <c r="H39" s="511">
        <f>$F$39*H27</f>
        <v>400000</v>
      </c>
      <c r="I39" s="510">
        <f t="shared" ref="I39:AK39" si="17">$F$39*I27</f>
        <v>400000</v>
      </c>
      <c r="J39" s="510">
        <f t="shared" si="17"/>
        <v>400000</v>
      </c>
      <c r="K39" s="510">
        <f t="shared" si="17"/>
        <v>400000</v>
      </c>
      <c r="L39" s="510">
        <f t="shared" si="17"/>
        <v>400000</v>
      </c>
      <c r="M39" s="510">
        <f t="shared" si="17"/>
        <v>400000</v>
      </c>
      <c r="N39" s="510">
        <f t="shared" si="17"/>
        <v>400000</v>
      </c>
      <c r="O39" s="510">
        <f t="shared" si="17"/>
        <v>400000</v>
      </c>
      <c r="P39" s="510">
        <f t="shared" si="17"/>
        <v>400000</v>
      </c>
      <c r="Q39" s="510">
        <f t="shared" si="17"/>
        <v>400000</v>
      </c>
      <c r="R39" s="510">
        <f t="shared" si="17"/>
        <v>400000</v>
      </c>
      <c r="S39" s="510">
        <f t="shared" si="17"/>
        <v>400000</v>
      </c>
      <c r="T39" s="510">
        <f t="shared" si="17"/>
        <v>400000</v>
      </c>
      <c r="U39" s="510">
        <f t="shared" si="17"/>
        <v>400000</v>
      </c>
      <c r="V39" s="510">
        <f t="shared" si="17"/>
        <v>400000</v>
      </c>
      <c r="W39" s="510">
        <f t="shared" si="17"/>
        <v>400000</v>
      </c>
      <c r="X39" s="510">
        <f t="shared" si="17"/>
        <v>400000</v>
      </c>
      <c r="Y39" s="510">
        <f t="shared" si="17"/>
        <v>400000</v>
      </c>
      <c r="Z39" s="510">
        <f t="shared" si="17"/>
        <v>400000</v>
      </c>
      <c r="AA39" s="510">
        <f t="shared" si="17"/>
        <v>400000</v>
      </c>
      <c r="AB39" s="510">
        <f t="shared" si="17"/>
        <v>400000</v>
      </c>
      <c r="AC39" s="510">
        <f t="shared" si="17"/>
        <v>400000</v>
      </c>
      <c r="AD39" s="510">
        <f t="shared" si="17"/>
        <v>400000</v>
      </c>
      <c r="AE39" s="510">
        <f t="shared" si="17"/>
        <v>400000</v>
      </c>
      <c r="AF39" s="510">
        <f t="shared" si="17"/>
        <v>400000</v>
      </c>
      <c r="AG39" s="510">
        <f t="shared" si="17"/>
        <v>400000</v>
      </c>
      <c r="AH39" s="510">
        <f t="shared" si="17"/>
        <v>400000</v>
      </c>
      <c r="AI39" s="510">
        <f t="shared" si="17"/>
        <v>400000</v>
      </c>
      <c r="AJ39" s="510">
        <f t="shared" si="17"/>
        <v>400000</v>
      </c>
      <c r="AK39" s="509">
        <f t="shared" si="17"/>
        <v>400000</v>
      </c>
    </row>
    <row r="40" spans="1:38">
      <c r="A40" s="452"/>
      <c r="B40" s="452"/>
      <c r="C40" s="452"/>
      <c r="D40" s="452"/>
      <c r="E40" s="452"/>
      <c r="F40" s="452"/>
      <c r="G40" s="452"/>
      <c r="H40" s="508"/>
      <c r="I40" s="508"/>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row>
    <row r="41" spans="1:38" ht="13.5" thickBot="1">
      <c r="A41" s="452"/>
      <c r="B41" s="452"/>
      <c r="C41" s="456"/>
      <c r="D41" s="456"/>
      <c r="E41" s="456"/>
      <c r="F41" s="456"/>
      <c r="G41" s="456"/>
      <c r="H41" s="456"/>
      <c r="I41" s="456"/>
      <c r="J41" s="456"/>
      <c r="K41" s="456"/>
      <c r="L41" s="456"/>
      <c r="M41" s="456"/>
      <c r="N41" s="456"/>
      <c r="O41" s="456"/>
      <c r="P41" s="456"/>
      <c r="Q41" s="456"/>
      <c r="R41" s="456"/>
      <c r="S41" s="456"/>
      <c r="T41" s="456"/>
      <c r="U41" s="456"/>
      <c r="V41" s="456"/>
      <c r="W41" s="456"/>
      <c r="X41" s="456"/>
      <c r="Y41" s="456"/>
      <c r="Z41" s="456"/>
      <c r="AA41" s="456"/>
      <c r="AB41" s="456"/>
      <c r="AC41" s="456"/>
      <c r="AD41" s="456"/>
      <c r="AE41" s="456"/>
      <c r="AF41" s="456"/>
      <c r="AG41" s="456"/>
      <c r="AH41" s="456"/>
      <c r="AI41" s="456"/>
      <c r="AJ41" s="456"/>
      <c r="AK41" s="456"/>
    </row>
    <row r="42" spans="1:38">
      <c r="A42" s="452"/>
      <c r="B42" s="892" t="s">
        <v>533</v>
      </c>
      <c r="C42" s="507" t="s">
        <v>532</v>
      </c>
      <c r="D42" s="894" t="s">
        <v>531</v>
      </c>
      <c r="E42" s="894" t="s">
        <v>530</v>
      </c>
      <c r="F42" s="897" t="s">
        <v>529</v>
      </c>
      <c r="G42" s="506" t="s">
        <v>528</v>
      </c>
      <c r="H42" s="505">
        <v>2023</v>
      </c>
      <c r="I42" s="504">
        <f>H42+1</f>
        <v>2024</v>
      </c>
      <c r="J42" s="504">
        <f>I42+1</f>
        <v>2025</v>
      </c>
      <c r="K42" s="504">
        <f t="shared" ref="K42:AI42" si="18">J42+1</f>
        <v>2026</v>
      </c>
      <c r="L42" s="504">
        <f t="shared" si="18"/>
        <v>2027</v>
      </c>
      <c r="M42" s="504">
        <f t="shared" si="18"/>
        <v>2028</v>
      </c>
      <c r="N42" s="504">
        <f t="shared" si="18"/>
        <v>2029</v>
      </c>
      <c r="O42" s="504">
        <f t="shared" si="18"/>
        <v>2030</v>
      </c>
      <c r="P42" s="504">
        <f t="shared" si="18"/>
        <v>2031</v>
      </c>
      <c r="Q42" s="504">
        <f t="shared" si="18"/>
        <v>2032</v>
      </c>
      <c r="R42" s="504">
        <f t="shared" si="18"/>
        <v>2033</v>
      </c>
      <c r="S42" s="504">
        <f t="shared" si="18"/>
        <v>2034</v>
      </c>
      <c r="T42" s="504">
        <f t="shared" si="18"/>
        <v>2035</v>
      </c>
      <c r="U42" s="504">
        <f t="shared" si="18"/>
        <v>2036</v>
      </c>
      <c r="V42" s="504">
        <f t="shared" si="18"/>
        <v>2037</v>
      </c>
      <c r="W42" s="504">
        <f t="shared" si="18"/>
        <v>2038</v>
      </c>
      <c r="X42" s="504">
        <f t="shared" si="18"/>
        <v>2039</v>
      </c>
      <c r="Y42" s="504">
        <f t="shared" si="18"/>
        <v>2040</v>
      </c>
      <c r="Z42" s="504">
        <f t="shared" si="18"/>
        <v>2041</v>
      </c>
      <c r="AA42" s="504">
        <f t="shared" si="18"/>
        <v>2042</v>
      </c>
      <c r="AB42" s="504">
        <f t="shared" si="18"/>
        <v>2043</v>
      </c>
      <c r="AC42" s="504">
        <f t="shared" si="18"/>
        <v>2044</v>
      </c>
      <c r="AD42" s="504">
        <f t="shared" si="18"/>
        <v>2045</v>
      </c>
      <c r="AE42" s="504">
        <f t="shared" si="18"/>
        <v>2046</v>
      </c>
      <c r="AF42" s="504">
        <f t="shared" si="18"/>
        <v>2047</v>
      </c>
      <c r="AG42" s="504">
        <f t="shared" si="18"/>
        <v>2048</v>
      </c>
      <c r="AH42" s="504">
        <f t="shared" si="18"/>
        <v>2049</v>
      </c>
      <c r="AI42" s="504">
        <f t="shared" si="18"/>
        <v>2050</v>
      </c>
      <c r="AJ42" s="504">
        <f>AI42+1</f>
        <v>2051</v>
      </c>
      <c r="AK42" s="504">
        <f>AJ42+1</f>
        <v>2052</v>
      </c>
    </row>
    <row r="43" spans="1:38">
      <c r="A43" s="452"/>
      <c r="B43" s="893"/>
      <c r="C43" s="503" t="s">
        <v>527</v>
      </c>
      <c r="D43" s="895"/>
      <c r="E43" s="895"/>
      <c r="F43" s="898"/>
      <c r="G43" s="502" t="s">
        <v>526</v>
      </c>
      <c r="H43" s="501">
        <v>11</v>
      </c>
      <c r="I43" s="501">
        <v>11</v>
      </c>
      <c r="J43" s="501">
        <v>11</v>
      </c>
      <c r="K43" s="501">
        <v>11</v>
      </c>
      <c r="L43" s="501">
        <v>11</v>
      </c>
      <c r="M43" s="501">
        <v>11</v>
      </c>
      <c r="N43" s="501">
        <v>11</v>
      </c>
      <c r="O43" s="501">
        <v>11</v>
      </c>
      <c r="P43" s="501">
        <v>11</v>
      </c>
      <c r="Q43" s="501">
        <v>11</v>
      </c>
      <c r="R43" s="501">
        <v>11</v>
      </c>
      <c r="S43" s="501">
        <v>11</v>
      </c>
      <c r="T43" s="501">
        <v>11</v>
      </c>
      <c r="U43" s="501">
        <v>11</v>
      </c>
      <c r="V43" s="501">
        <v>11</v>
      </c>
      <c r="W43" s="501">
        <v>11</v>
      </c>
      <c r="X43" s="501">
        <v>11</v>
      </c>
      <c r="Y43" s="501">
        <v>11</v>
      </c>
      <c r="Z43" s="501">
        <v>11</v>
      </c>
      <c r="AA43" s="501">
        <v>11</v>
      </c>
      <c r="AB43" s="501">
        <v>11</v>
      </c>
      <c r="AC43" s="501">
        <v>11</v>
      </c>
      <c r="AD43" s="501">
        <v>11</v>
      </c>
      <c r="AE43" s="501">
        <v>11</v>
      </c>
      <c r="AF43" s="501">
        <v>11</v>
      </c>
      <c r="AG43" s="501">
        <v>11</v>
      </c>
      <c r="AH43" s="501">
        <v>11</v>
      </c>
      <c r="AI43" s="501">
        <v>11</v>
      </c>
      <c r="AJ43" s="501">
        <v>11</v>
      </c>
      <c r="AK43" s="501">
        <v>11</v>
      </c>
    </row>
    <row r="44" spans="1:38" ht="13.5" thickBot="1">
      <c r="A44" s="452"/>
      <c r="B44" s="500" t="s">
        <v>525</v>
      </c>
      <c r="C44" s="499">
        <f>340*900</f>
        <v>306000</v>
      </c>
      <c r="D44" s="896"/>
      <c r="E44" s="896"/>
      <c r="F44" s="899"/>
      <c r="G44" s="498" t="s">
        <v>524</v>
      </c>
      <c r="H44" s="497">
        <v>10</v>
      </c>
      <c r="I44" s="497">
        <v>10</v>
      </c>
      <c r="J44" s="497">
        <v>10</v>
      </c>
      <c r="K44" s="497">
        <v>10</v>
      </c>
      <c r="L44" s="497">
        <v>10</v>
      </c>
      <c r="M44" s="497">
        <v>10</v>
      </c>
      <c r="N44" s="497">
        <v>10</v>
      </c>
      <c r="O44" s="497">
        <v>10</v>
      </c>
      <c r="P44" s="497">
        <v>10</v>
      </c>
      <c r="Q44" s="497">
        <v>10</v>
      </c>
      <c r="R44" s="497">
        <v>10</v>
      </c>
      <c r="S44" s="497">
        <v>10</v>
      </c>
      <c r="T44" s="497">
        <v>10</v>
      </c>
      <c r="U44" s="497">
        <v>10</v>
      </c>
      <c r="V44" s="497">
        <v>10</v>
      </c>
      <c r="W44" s="497">
        <v>10</v>
      </c>
      <c r="X44" s="497">
        <v>10</v>
      </c>
      <c r="Y44" s="497">
        <v>10</v>
      </c>
      <c r="Z44" s="497">
        <v>10</v>
      </c>
      <c r="AA44" s="497">
        <v>10</v>
      </c>
      <c r="AB44" s="497">
        <v>10</v>
      </c>
      <c r="AC44" s="497">
        <v>10</v>
      </c>
      <c r="AD44" s="497">
        <v>10</v>
      </c>
      <c r="AE44" s="497">
        <v>10</v>
      </c>
      <c r="AF44" s="497">
        <v>10</v>
      </c>
      <c r="AG44" s="497">
        <v>10</v>
      </c>
      <c r="AH44" s="497">
        <v>10</v>
      </c>
      <c r="AI44" s="497">
        <v>10</v>
      </c>
      <c r="AJ44" s="497">
        <v>10</v>
      </c>
      <c r="AK44" s="497">
        <v>10</v>
      </c>
    </row>
    <row r="45" spans="1:38">
      <c r="A45" s="452"/>
      <c r="B45" s="496" t="s">
        <v>523</v>
      </c>
      <c r="C45" s="495" t="s">
        <v>276</v>
      </c>
      <c r="D45" s="494">
        <v>2.76</v>
      </c>
      <c r="E45" s="493">
        <f>340*900</f>
        <v>306000</v>
      </c>
      <c r="F45" s="492">
        <f>D45*E45</f>
        <v>844559.99999999988</v>
      </c>
      <c r="G45" s="900"/>
      <c r="H45" s="491">
        <f>$F$45*H43</f>
        <v>9290159.9999999981</v>
      </c>
      <c r="I45" s="490">
        <f t="shared" ref="I45:AK45" si="19">$F$45*I43</f>
        <v>9290159.9999999981</v>
      </c>
      <c r="J45" s="490">
        <f t="shared" si="19"/>
        <v>9290159.9999999981</v>
      </c>
      <c r="K45" s="490">
        <f t="shared" si="19"/>
        <v>9290159.9999999981</v>
      </c>
      <c r="L45" s="490">
        <f t="shared" si="19"/>
        <v>9290159.9999999981</v>
      </c>
      <c r="M45" s="490">
        <f t="shared" si="19"/>
        <v>9290159.9999999981</v>
      </c>
      <c r="N45" s="490">
        <f t="shared" si="19"/>
        <v>9290159.9999999981</v>
      </c>
      <c r="O45" s="490">
        <f t="shared" si="19"/>
        <v>9290159.9999999981</v>
      </c>
      <c r="P45" s="490">
        <f t="shared" si="19"/>
        <v>9290159.9999999981</v>
      </c>
      <c r="Q45" s="490">
        <f t="shared" si="19"/>
        <v>9290159.9999999981</v>
      </c>
      <c r="R45" s="490">
        <f t="shared" si="19"/>
        <v>9290159.9999999981</v>
      </c>
      <c r="S45" s="490">
        <f t="shared" si="19"/>
        <v>9290159.9999999981</v>
      </c>
      <c r="T45" s="490">
        <f t="shared" si="19"/>
        <v>9290159.9999999981</v>
      </c>
      <c r="U45" s="490">
        <f t="shared" si="19"/>
        <v>9290159.9999999981</v>
      </c>
      <c r="V45" s="490">
        <f t="shared" si="19"/>
        <v>9290159.9999999981</v>
      </c>
      <c r="W45" s="490">
        <f t="shared" si="19"/>
        <v>9290159.9999999981</v>
      </c>
      <c r="X45" s="490">
        <f t="shared" si="19"/>
        <v>9290159.9999999981</v>
      </c>
      <c r="Y45" s="490">
        <f t="shared" si="19"/>
        <v>9290159.9999999981</v>
      </c>
      <c r="Z45" s="490">
        <f t="shared" si="19"/>
        <v>9290159.9999999981</v>
      </c>
      <c r="AA45" s="490">
        <f t="shared" si="19"/>
        <v>9290159.9999999981</v>
      </c>
      <c r="AB45" s="490">
        <f t="shared" si="19"/>
        <v>9290159.9999999981</v>
      </c>
      <c r="AC45" s="490">
        <f t="shared" si="19"/>
        <v>9290159.9999999981</v>
      </c>
      <c r="AD45" s="490">
        <f t="shared" si="19"/>
        <v>9290159.9999999981</v>
      </c>
      <c r="AE45" s="490">
        <f t="shared" si="19"/>
        <v>9290159.9999999981</v>
      </c>
      <c r="AF45" s="490">
        <f t="shared" si="19"/>
        <v>9290159.9999999981</v>
      </c>
      <c r="AG45" s="490">
        <f t="shared" si="19"/>
        <v>9290159.9999999981</v>
      </c>
      <c r="AH45" s="490">
        <f t="shared" si="19"/>
        <v>9290159.9999999981</v>
      </c>
      <c r="AI45" s="490">
        <f t="shared" si="19"/>
        <v>9290159.9999999981</v>
      </c>
      <c r="AJ45" s="490">
        <f t="shared" si="19"/>
        <v>9290159.9999999981</v>
      </c>
      <c r="AK45" s="489">
        <f t="shared" si="19"/>
        <v>9290159.9999999981</v>
      </c>
    </row>
    <row r="46" spans="1:38">
      <c r="A46" s="452"/>
      <c r="B46" s="477" t="s">
        <v>522</v>
      </c>
      <c r="C46" s="476" t="s">
        <v>276</v>
      </c>
      <c r="D46" s="488"/>
      <c r="E46" s="487"/>
      <c r="F46" s="486"/>
      <c r="G46" s="900"/>
      <c r="H46" s="481"/>
      <c r="I46" s="480"/>
      <c r="J46" s="480"/>
      <c r="K46" s="480"/>
      <c r="L46" s="480"/>
      <c r="M46" s="480"/>
      <c r="N46" s="480"/>
      <c r="O46" s="480"/>
      <c r="P46" s="480"/>
      <c r="Q46" s="480"/>
      <c r="R46" s="480"/>
      <c r="S46" s="480"/>
      <c r="T46" s="480"/>
      <c r="U46" s="480"/>
      <c r="V46" s="480"/>
      <c r="W46" s="480"/>
      <c r="X46" s="480"/>
      <c r="Y46" s="480"/>
      <c r="Z46" s="480"/>
      <c r="AA46" s="480"/>
      <c r="AB46" s="480"/>
      <c r="AC46" s="480"/>
      <c r="AD46" s="480"/>
      <c r="AE46" s="480"/>
      <c r="AF46" s="480"/>
      <c r="AG46" s="480"/>
      <c r="AH46" s="480"/>
      <c r="AI46" s="480"/>
      <c r="AJ46" s="480"/>
      <c r="AK46" s="479"/>
    </row>
    <row r="47" spans="1:38">
      <c r="A47" s="485"/>
      <c r="B47" s="477" t="s">
        <v>521</v>
      </c>
      <c r="C47" s="476" t="s">
        <v>276</v>
      </c>
      <c r="D47" s="475">
        <v>0.64</v>
      </c>
      <c r="E47" s="474">
        <f>340*900</f>
        <v>306000</v>
      </c>
      <c r="F47" s="473">
        <f>D47*E47</f>
        <v>195840</v>
      </c>
      <c r="G47" s="900"/>
      <c r="H47" s="472">
        <f>$F$47*H43</f>
        <v>2154240</v>
      </c>
      <c r="I47" s="471">
        <f t="shared" ref="I47:AK47" si="20">$F$47*I43</f>
        <v>2154240</v>
      </c>
      <c r="J47" s="471">
        <f t="shared" si="20"/>
        <v>2154240</v>
      </c>
      <c r="K47" s="471">
        <f t="shared" si="20"/>
        <v>2154240</v>
      </c>
      <c r="L47" s="471">
        <f t="shared" si="20"/>
        <v>2154240</v>
      </c>
      <c r="M47" s="471">
        <f t="shared" si="20"/>
        <v>2154240</v>
      </c>
      <c r="N47" s="471">
        <f t="shared" si="20"/>
        <v>2154240</v>
      </c>
      <c r="O47" s="471">
        <f t="shared" si="20"/>
        <v>2154240</v>
      </c>
      <c r="P47" s="471">
        <f t="shared" si="20"/>
        <v>2154240</v>
      </c>
      <c r="Q47" s="471">
        <f t="shared" si="20"/>
        <v>2154240</v>
      </c>
      <c r="R47" s="471">
        <f t="shared" si="20"/>
        <v>2154240</v>
      </c>
      <c r="S47" s="471">
        <f t="shared" si="20"/>
        <v>2154240</v>
      </c>
      <c r="T47" s="471">
        <f t="shared" si="20"/>
        <v>2154240</v>
      </c>
      <c r="U47" s="471">
        <f t="shared" si="20"/>
        <v>2154240</v>
      </c>
      <c r="V47" s="471">
        <f t="shared" si="20"/>
        <v>2154240</v>
      </c>
      <c r="W47" s="471">
        <f t="shared" si="20"/>
        <v>2154240</v>
      </c>
      <c r="X47" s="471">
        <f t="shared" si="20"/>
        <v>2154240</v>
      </c>
      <c r="Y47" s="471">
        <f t="shared" si="20"/>
        <v>2154240</v>
      </c>
      <c r="Z47" s="471">
        <f t="shared" si="20"/>
        <v>2154240</v>
      </c>
      <c r="AA47" s="471">
        <f t="shared" si="20"/>
        <v>2154240</v>
      </c>
      <c r="AB47" s="471">
        <f t="shared" si="20"/>
        <v>2154240</v>
      </c>
      <c r="AC47" s="471">
        <f t="shared" si="20"/>
        <v>2154240</v>
      </c>
      <c r="AD47" s="471">
        <f t="shared" si="20"/>
        <v>2154240</v>
      </c>
      <c r="AE47" s="471">
        <f t="shared" si="20"/>
        <v>2154240</v>
      </c>
      <c r="AF47" s="471">
        <f t="shared" si="20"/>
        <v>2154240</v>
      </c>
      <c r="AG47" s="471">
        <f t="shared" si="20"/>
        <v>2154240</v>
      </c>
      <c r="AH47" s="471">
        <f t="shared" si="20"/>
        <v>2154240</v>
      </c>
      <c r="AI47" s="471">
        <f t="shared" si="20"/>
        <v>2154240</v>
      </c>
      <c r="AJ47" s="471">
        <f t="shared" si="20"/>
        <v>2154240</v>
      </c>
      <c r="AK47" s="470">
        <f t="shared" si="20"/>
        <v>2154240</v>
      </c>
    </row>
    <row r="48" spans="1:38">
      <c r="A48" s="452"/>
      <c r="B48" s="477" t="s">
        <v>284</v>
      </c>
      <c r="C48" s="476" t="s">
        <v>276</v>
      </c>
      <c r="D48" s="484"/>
      <c r="E48" s="483"/>
      <c r="F48" s="482"/>
      <c r="G48" s="900"/>
      <c r="H48" s="481"/>
      <c r="I48" s="480"/>
      <c r="J48" s="480"/>
      <c r="K48" s="480"/>
      <c r="L48" s="480"/>
      <c r="M48" s="480"/>
      <c r="N48" s="480"/>
      <c r="O48" s="480"/>
      <c r="P48" s="480"/>
      <c r="Q48" s="480"/>
      <c r="R48" s="480"/>
      <c r="S48" s="480"/>
      <c r="T48" s="480"/>
      <c r="U48" s="480"/>
      <c r="V48" s="480"/>
      <c r="W48" s="480"/>
      <c r="X48" s="480"/>
      <c r="Y48" s="480"/>
      <c r="Z48" s="480"/>
      <c r="AA48" s="480"/>
      <c r="AB48" s="480"/>
      <c r="AC48" s="480"/>
      <c r="AD48" s="480"/>
      <c r="AE48" s="480"/>
      <c r="AF48" s="480"/>
      <c r="AG48" s="480"/>
      <c r="AH48" s="480"/>
      <c r="AI48" s="480"/>
      <c r="AJ48" s="480"/>
      <c r="AK48" s="479"/>
      <c r="AL48" s="429"/>
    </row>
    <row r="49" spans="1:60">
      <c r="A49" s="452"/>
      <c r="B49" s="477" t="s">
        <v>287</v>
      </c>
      <c r="C49" s="476" t="s">
        <v>276</v>
      </c>
      <c r="D49" s="484"/>
      <c r="E49" s="483"/>
      <c r="F49" s="482"/>
      <c r="G49" s="900"/>
      <c r="H49" s="481"/>
      <c r="I49" s="480"/>
      <c r="J49" s="480"/>
      <c r="K49" s="480"/>
      <c r="L49" s="480"/>
      <c r="M49" s="480"/>
      <c r="N49" s="480"/>
      <c r="O49" s="480"/>
      <c r="P49" s="480"/>
      <c r="Q49" s="480"/>
      <c r="R49" s="480"/>
      <c r="S49" s="480"/>
      <c r="T49" s="480"/>
      <c r="U49" s="480"/>
      <c r="V49" s="480"/>
      <c r="W49" s="480"/>
      <c r="X49" s="480"/>
      <c r="Y49" s="480"/>
      <c r="Z49" s="480"/>
      <c r="AA49" s="480"/>
      <c r="AB49" s="480"/>
      <c r="AC49" s="480"/>
      <c r="AD49" s="480"/>
      <c r="AE49" s="480"/>
      <c r="AF49" s="480"/>
      <c r="AG49" s="480"/>
      <c r="AH49" s="480"/>
      <c r="AI49" s="480"/>
      <c r="AJ49" s="480"/>
      <c r="AK49" s="479"/>
      <c r="AN49" s="429"/>
      <c r="AO49" s="429"/>
      <c r="AP49" s="429"/>
      <c r="AQ49" s="429"/>
      <c r="AR49" s="429"/>
      <c r="AS49" s="429"/>
      <c r="AT49" s="429"/>
      <c r="AU49" s="429"/>
      <c r="AV49" s="429"/>
      <c r="AW49" s="429"/>
      <c r="AX49" s="429"/>
      <c r="AY49" s="429"/>
      <c r="AZ49" s="429"/>
      <c r="BA49" s="429"/>
      <c r="BB49" s="429"/>
      <c r="BC49" s="429"/>
      <c r="BD49" s="429"/>
      <c r="BE49" s="429"/>
      <c r="BF49" s="429"/>
      <c r="BG49" s="429"/>
      <c r="BH49" s="429"/>
    </row>
    <row r="50" spans="1:60" s="429" customFormat="1">
      <c r="A50" s="452"/>
      <c r="B50" s="477" t="s">
        <v>520</v>
      </c>
      <c r="C50" s="476" t="s">
        <v>276</v>
      </c>
      <c r="D50" s="478">
        <v>0.36</v>
      </c>
      <c r="E50" s="474">
        <f>340*900</f>
        <v>306000</v>
      </c>
      <c r="F50" s="473">
        <f>D50*E50</f>
        <v>110160</v>
      </c>
      <c r="G50" s="900"/>
      <c r="H50" s="472">
        <f>$F$50*H43</f>
        <v>1211760</v>
      </c>
      <c r="I50" s="472">
        <f t="shared" ref="I50:AK50" si="21">$F$50*I43</f>
        <v>1211760</v>
      </c>
      <c r="J50" s="472">
        <f t="shared" si="21"/>
        <v>1211760</v>
      </c>
      <c r="K50" s="472">
        <f t="shared" si="21"/>
        <v>1211760</v>
      </c>
      <c r="L50" s="472">
        <f t="shared" si="21"/>
        <v>1211760</v>
      </c>
      <c r="M50" s="472">
        <f t="shared" si="21"/>
        <v>1211760</v>
      </c>
      <c r="N50" s="472">
        <f t="shared" si="21"/>
        <v>1211760</v>
      </c>
      <c r="O50" s="472">
        <f t="shared" si="21"/>
        <v>1211760</v>
      </c>
      <c r="P50" s="472">
        <f t="shared" si="21"/>
        <v>1211760</v>
      </c>
      <c r="Q50" s="472">
        <f t="shared" si="21"/>
        <v>1211760</v>
      </c>
      <c r="R50" s="472">
        <f t="shared" si="21"/>
        <v>1211760</v>
      </c>
      <c r="S50" s="472">
        <f t="shared" si="21"/>
        <v>1211760</v>
      </c>
      <c r="T50" s="472">
        <f t="shared" si="21"/>
        <v>1211760</v>
      </c>
      <c r="U50" s="472">
        <f t="shared" si="21"/>
        <v>1211760</v>
      </c>
      <c r="V50" s="472">
        <f t="shared" si="21"/>
        <v>1211760</v>
      </c>
      <c r="W50" s="472">
        <f t="shared" si="21"/>
        <v>1211760</v>
      </c>
      <c r="X50" s="472">
        <f t="shared" si="21"/>
        <v>1211760</v>
      </c>
      <c r="Y50" s="472">
        <f t="shared" si="21"/>
        <v>1211760</v>
      </c>
      <c r="Z50" s="472">
        <f t="shared" si="21"/>
        <v>1211760</v>
      </c>
      <c r="AA50" s="472">
        <f t="shared" si="21"/>
        <v>1211760</v>
      </c>
      <c r="AB50" s="472">
        <f t="shared" si="21"/>
        <v>1211760</v>
      </c>
      <c r="AC50" s="472">
        <f t="shared" si="21"/>
        <v>1211760</v>
      </c>
      <c r="AD50" s="472">
        <f t="shared" si="21"/>
        <v>1211760</v>
      </c>
      <c r="AE50" s="472">
        <f t="shared" si="21"/>
        <v>1211760</v>
      </c>
      <c r="AF50" s="472">
        <f t="shared" si="21"/>
        <v>1211760</v>
      </c>
      <c r="AG50" s="472">
        <f t="shared" si="21"/>
        <v>1211760</v>
      </c>
      <c r="AH50" s="472">
        <f t="shared" si="21"/>
        <v>1211760</v>
      </c>
      <c r="AI50" s="472">
        <f t="shared" si="21"/>
        <v>1211760</v>
      </c>
      <c r="AJ50" s="472">
        <f t="shared" si="21"/>
        <v>1211760</v>
      </c>
      <c r="AK50" s="472">
        <f t="shared" si="21"/>
        <v>1211760</v>
      </c>
      <c r="AL50" s="428"/>
      <c r="AM50" s="428"/>
      <c r="AN50" s="428"/>
      <c r="AO50" s="428"/>
      <c r="AP50" s="428"/>
      <c r="AQ50" s="428"/>
      <c r="AR50" s="428"/>
      <c r="AS50" s="428"/>
      <c r="AT50" s="428"/>
      <c r="AU50" s="428"/>
      <c r="AV50" s="428"/>
      <c r="AW50" s="428"/>
      <c r="AX50" s="428"/>
      <c r="AY50" s="428"/>
      <c r="AZ50" s="428"/>
      <c r="BA50" s="428"/>
      <c r="BB50" s="428"/>
      <c r="BC50" s="428"/>
      <c r="BD50" s="428"/>
      <c r="BE50" s="428"/>
      <c r="BF50" s="428"/>
      <c r="BG50" s="428"/>
      <c r="BH50" s="428"/>
    </row>
    <row r="51" spans="1:60">
      <c r="A51" s="452"/>
      <c r="B51" s="477" t="s">
        <v>330</v>
      </c>
      <c r="C51" s="476" t="s">
        <v>276</v>
      </c>
      <c r="D51" s="475">
        <v>1.84</v>
      </c>
      <c r="E51" s="474">
        <f>340*900</f>
        <v>306000</v>
      </c>
      <c r="F51" s="473">
        <f t="shared" ref="F51:F52" si="22">D51*E51</f>
        <v>563040</v>
      </c>
      <c r="G51" s="900"/>
      <c r="H51" s="472">
        <f>$F$51*H43</f>
        <v>6193440</v>
      </c>
      <c r="I51" s="471">
        <f t="shared" ref="I51:AK51" si="23">$F$51*I43</f>
        <v>6193440</v>
      </c>
      <c r="J51" s="471">
        <f t="shared" si="23"/>
        <v>6193440</v>
      </c>
      <c r="K51" s="471">
        <f t="shared" si="23"/>
        <v>6193440</v>
      </c>
      <c r="L51" s="471">
        <f t="shared" si="23"/>
        <v>6193440</v>
      </c>
      <c r="M51" s="471">
        <f t="shared" si="23"/>
        <v>6193440</v>
      </c>
      <c r="N51" s="471">
        <f t="shared" si="23"/>
        <v>6193440</v>
      </c>
      <c r="O51" s="471">
        <f t="shared" si="23"/>
        <v>6193440</v>
      </c>
      <c r="P51" s="471">
        <f t="shared" si="23"/>
        <v>6193440</v>
      </c>
      <c r="Q51" s="471">
        <f t="shared" si="23"/>
        <v>6193440</v>
      </c>
      <c r="R51" s="471">
        <f t="shared" si="23"/>
        <v>6193440</v>
      </c>
      <c r="S51" s="471">
        <f t="shared" si="23"/>
        <v>6193440</v>
      </c>
      <c r="T51" s="471">
        <f t="shared" si="23"/>
        <v>6193440</v>
      </c>
      <c r="U51" s="471">
        <f t="shared" si="23"/>
        <v>6193440</v>
      </c>
      <c r="V51" s="471">
        <f t="shared" si="23"/>
        <v>6193440</v>
      </c>
      <c r="W51" s="471">
        <f t="shared" si="23"/>
        <v>6193440</v>
      </c>
      <c r="X51" s="471">
        <f t="shared" si="23"/>
        <v>6193440</v>
      </c>
      <c r="Y51" s="471">
        <f t="shared" si="23"/>
        <v>6193440</v>
      </c>
      <c r="Z51" s="471">
        <f t="shared" si="23"/>
        <v>6193440</v>
      </c>
      <c r="AA51" s="471">
        <f t="shared" si="23"/>
        <v>6193440</v>
      </c>
      <c r="AB51" s="471">
        <f t="shared" si="23"/>
        <v>6193440</v>
      </c>
      <c r="AC51" s="471">
        <f t="shared" si="23"/>
        <v>6193440</v>
      </c>
      <c r="AD51" s="471">
        <f t="shared" si="23"/>
        <v>6193440</v>
      </c>
      <c r="AE51" s="471">
        <f t="shared" si="23"/>
        <v>6193440</v>
      </c>
      <c r="AF51" s="471">
        <f t="shared" si="23"/>
        <v>6193440</v>
      </c>
      <c r="AG51" s="471">
        <f t="shared" si="23"/>
        <v>6193440</v>
      </c>
      <c r="AH51" s="471">
        <f t="shared" si="23"/>
        <v>6193440</v>
      </c>
      <c r="AI51" s="471">
        <f t="shared" si="23"/>
        <v>6193440</v>
      </c>
      <c r="AJ51" s="471">
        <f t="shared" si="23"/>
        <v>6193440</v>
      </c>
      <c r="AK51" s="470">
        <f t="shared" si="23"/>
        <v>6193440</v>
      </c>
    </row>
    <row r="52" spans="1:60">
      <c r="A52" s="452"/>
      <c r="B52" s="477" t="s">
        <v>331</v>
      </c>
      <c r="C52" s="476" t="s">
        <v>276</v>
      </c>
      <c r="D52" s="475">
        <v>1.93</v>
      </c>
      <c r="E52" s="474">
        <f>340*900</f>
        <v>306000</v>
      </c>
      <c r="F52" s="473">
        <f t="shared" si="22"/>
        <v>590580</v>
      </c>
      <c r="G52" s="900"/>
      <c r="H52" s="472">
        <f>$F$52*H43</f>
        <v>6496380</v>
      </c>
      <c r="I52" s="471">
        <f t="shared" ref="I52:AK52" si="24">$F$52*I43</f>
        <v>6496380</v>
      </c>
      <c r="J52" s="471">
        <f t="shared" si="24"/>
        <v>6496380</v>
      </c>
      <c r="K52" s="471">
        <f t="shared" si="24"/>
        <v>6496380</v>
      </c>
      <c r="L52" s="471">
        <f t="shared" si="24"/>
        <v>6496380</v>
      </c>
      <c r="M52" s="471">
        <f t="shared" si="24"/>
        <v>6496380</v>
      </c>
      <c r="N52" s="471">
        <f t="shared" si="24"/>
        <v>6496380</v>
      </c>
      <c r="O52" s="471">
        <f t="shared" si="24"/>
        <v>6496380</v>
      </c>
      <c r="P52" s="471">
        <f t="shared" si="24"/>
        <v>6496380</v>
      </c>
      <c r="Q52" s="471">
        <f t="shared" si="24"/>
        <v>6496380</v>
      </c>
      <c r="R52" s="471">
        <f t="shared" si="24"/>
        <v>6496380</v>
      </c>
      <c r="S52" s="471">
        <f t="shared" si="24"/>
        <v>6496380</v>
      </c>
      <c r="T52" s="471">
        <f t="shared" si="24"/>
        <v>6496380</v>
      </c>
      <c r="U52" s="471">
        <f t="shared" si="24"/>
        <v>6496380</v>
      </c>
      <c r="V52" s="471">
        <f t="shared" si="24"/>
        <v>6496380</v>
      </c>
      <c r="W52" s="471">
        <f t="shared" si="24"/>
        <v>6496380</v>
      </c>
      <c r="X52" s="471">
        <f t="shared" si="24"/>
        <v>6496380</v>
      </c>
      <c r="Y52" s="471">
        <f t="shared" si="24"/>
        <v>6496380</v>
      </c>
      <c r="Z52" s="471">
        <f t="shared" si="24"/>
        <v>6496380</v>
      </c>
      <c r="AA52" s="471">
        <f t="shared" si="24"/>
        <v>6496380</v>
      </c>
      <c r="AB52" s="471">
        <f t="shared" si="24"/>
        <v>6496380</v>
      </c>
      <c r="AC52" s="471">
        <f t="shared" si="24"/>
        <v>6496380</v>
      </c>
      <c r="AD52" s="471">
        <f t="shared" si="24"/>
        <v>6496380</v>
      </c>
      <c r="AE52" s="471">
        <f t="shared" si="24"/>
        <v>6496380</v>
      </c>
      <c r="AF52" s="471">
        <f t="shared" si="24"/>
        <v>6496380</v>
      </c>
      <c r="AG52" s="471">
        <f t="shared" si="24"/>
        <v>6496380</v>
      </c>
      <c r="AH52" s="471">
        <f t="shared" si="24"/>
        <v>6496380</v>
      </c>
      <c r="AI52" s="471">
        <f t="shared" si="24"/>
        <v>6496380</v>
      </c>
      <c r="AJ52" s="471">
        <f t="shared" si="24"/>
        <v>6496380</v>
      </c>
      <c r="AK52" s="470">
        <f t="shared" si="24"/>
        <v>6496380</v>
      </c>
    </row>
    <row r="53" spans="1:60" ht="13.5" thickBot="1">
      <c r="A53" s="452"/>
      <c r="B53" s="469" t="s">
        <v>519</v>
      </c>
      <c r="C53" s="468" t="s">
        <v>276</v>
      </c>
      <c r="D53" s="467"/>
      <c r="E53" s="466"/>
      <c r="F53" s="465"/>
      <c r="G53" s="900"/>
      <c r="H53" s="464"/>
      <c r="I53" s="463"/>
      <c r="J53" s="463"/>
      <c r="K53" s="463"/>
      <c r="L53" s="463"/>
      <c r="M53" s="463"/>
      <c r="N53" s="463"/>
      <c r="O53" s="463"/>
      <c r="P53" s="463"/>
      <c r="Q53" s="463"/>
      <c r="R53" s="463"/>
      <c r="S53" s="463"/>
      <c r="T53" s="463"/>
      <c r="U53" s="463"/>
      <c r="V53" s="463"/>
      <c r="W53" s="463"/>
      <c r="X53" s="463"/>
      <c r="Y53" s="463"/>
      <c r="Z53" s="463"/>
      <c r="AA53" s="463"/>
      <c r="AB53" s="463"/>
      <c r="AC53" s="463"/>
      <c r="AD53" s="463"/>
      <c r="AE53" s="463"/>
      <c r="AF53" s="463"/>
      <c r="AG53" s="463"/>
      <c r="AH53" s="463"/>
      <c r="AI53" s="463"/>
      <c r="AJ53" s="463"/>
      <c r="AK53" s="462"/>
    </row>
    <row r="54" spans="1:60" ht="14.25" thickTop="1" thickBot="1">
      <c r="A54" s="452"/>
      <c r="B54" s="461" t="s">
        <v>518</v>
      </c>
      <c r="C54" s="460" t="s">
        <v>276</v>
      </c>
      <c r="D54" s="459">
        <v>1.1200000000000001</v>
      </c>
      <c r="E54" s="458">
        <f>340*900</f>
        <v>306000</v>
      </c>
      <c r="F54" s="457">
        <f t="shared" ref="F54" si="25">D54*E54</f>
        <v>342720.00000000006</v>
      </c>
      <c r="G54" s="900"/>
      <c r="H54" s="455">
        <f>$F$54*H43</f>
        <v>3769920.0000000005</v>
      </c>
      <c r="I54" s="454">
        <f t="shared" ref="I54:AK54" si="26">$F$54*I43</f>
        <v>3769920.0000000005</v>
      </c>
      <c r="J54" s="454">
        <f t="shared" si="26"/>
        <v>3769920.0000000005</v>
      </c>
      <c r="K54" s="454">
        <f t="shared" si="26"/>
        <v>3769920.0000000005</v>
      </c>
      <c r="L54" s="454">
        <f t="shared" si="26"/>
        <v>3769920.0000000005</v>
      </c>
      <c r="M54" s="454">
        <f t="shared" si="26"/>
        <v>3769920.0000000005</v>
      </c>
      <c r="N54" s="454">
        <f t="shared" si="26"/>
        <v>3769920.0000000005</v>
      </c>
      <c r="O54" s="454">
        <f t="shared" si="26"/>
        <v>3769920.0000000005</v>
      </c>
      <c r="P54" s="454">
        <f t="shared" si="26"/>
        <v>3769920.0000000005</v>
      </c>
      <c r="Q54" s="454">
        <f t="shared" si="26"/>
        <v>3769920.0000000005</v>
      </c>
      <c r="R54" s="454">
        <f t="shared" si="26"/>
        <v>3769920.0000000005</v>
      </c>
      <c r="S54" s="454">
        <f t="shared" si="26"/>
        <v>3769920.0000000005</v>
      </c>
      <c r="T54" s="454">
        <f t="shared" si="26"/>
        <v>3769920.0000000005</v>
      </c>
      <c r="U54" s="454">
        <f t="shared" si="26"/>
        <v>3769920.0000000005</v>
      </c>
      <c r="V54" s="454">
        <f t="shared" si="26"/>
        <v>3769920.0000000005</v>
      </c>
      <c r="W54" s="454">
        <f t="shared" si="26"/>
        <v>3769920.0000000005</v>
      </c>
      <c r="X54" s="454">
        <f t="shared" si="26"/>
        <v>3769920.0000000005</v>
      </c>
      <c r="Y54" s="454">
        <f t="shared" si="26"/>
        <v>3769920.0000000005</v>
      </c>
      <c r="Z54" s="454">
        <f t="shared" si="26"/>
        <v>3769920.0000000005</v>
      </c>
      <c r="AA54" s="454">
        <f t="shared" si="26"/>
        <v>3769920.0000000005</v>
      </c>
      <c r="AB54" s="454">
        <f t="shared" si="26"/>
        <v>3769920.0000000005</v>
      </c>
      <c r="AC54" s="454">
        <f t="shared" si="26"/>
        <v>3769920.0000000005</v>
      </c>
      <c r="AD54" s="454">
        <f t="shared" si="26"/>
        <v>3769920.0000000005</v>
      </c>
      <c r="AE54" s="454">
        <f t="shared" si="26"/>
        <v>3769920.0000000005</v>
      </c>
      <c r="AF54" s="454">
        <f t="shared" si="26"/>
        <v>3769920.0000000005</v>
      </c>
      <c r="AG54" s="454">
        <f t="shared" si="26"/>
        <v>3769920.0000000005</v>
      </c>
      <c r="AH54" s="454">
        <f t="shared" si="26"/>
        <v>3769920.0000000005</v>
      </c>
      <c r="AI54" s="454">
        <f t="shared" si="26"/>
        <v>3769920.0000000005</v>
      </c>
      <c r="AJ54" s="454">
        <f t="shared" si="26"/>
        <v>3769920.0000000005</v>
      </c>
      <c r="AK54" s="453">
        <f t="shared" si="26"/>
        <v>3769920.0000000005</v>
      </c>
    </row>
    <row r="55" spans="1:60" ht="13.5" thickBot="1">
      <c r="A55" s="452"/>
      <c r="B55" s="451" t="s">
        <v>517</v>
      </c>
      <c r="C55" s="450" t="s">
        <v>276</v>
      </c>
      <c r="D55" s="449"/>
      <c r="E55" s="448"/>
      <c r="F55" s="447"/>
      <c r="G55" s="901"/>
      <c r="H55" s="446"/>
      <c r="I55" s="445"/>
      <c r="J55" s="445"/>
      <c r="K55" s="445"/>
      <c r="L55" s="445"/>
      <c r="M55" s="445"/>
      <c r="N55" s="445"/>
      <c r="O55" s="445"/>
      <c r="P55" s="445"/>
      <c r="Q55" s="445"/>
      <c r="R55" s="445"/>
      <c r="S55" s="445"/>
      <c r="T55" s="445"/>
      <c r="U55" s="445"/>
      <c r="V55" s="445"/>
      <c r="W55" s="445"/>
      <c r="X55" s="445"/>
      <c r="Y55" s="445"/>
      <c r="Z55" s="445"/>
      <c r="AA55" s="445"/>
      <c r="AB55" s="445"/>
      <c r="AC55" s="445"/>
      <c r="AD55" s="445"/>
      <c r="AE55" s="445"/>
      <c r="AF55" s="445"/>
      <c r="AG55" s="445"/>
      <c r="AH55" s="445"/>
      <c r="AI55" s="445"/>
      <c r="AJ55" s="445"/>
      <c r="AK55" s="444"/>
    </row>
    <row r="56" spans="1:60">
      <c r="H56" s="443"/>
    </row>
    <row r="57" spans="1:60">
      <c r="H57" s="443"/>
      <c r="I57" s="443"/>
    </row>
    <row r="58" spans="1:60">
      <c r="A58" s="432"/>
      <c r="B58" s="432"/>
      <c r="C58" s="436"/>
      <c r="D58" s="436" t="s">
        <v>10</v>
      </c>
      <c r="E58" s="436"/>
      <c r="F58" s="436"/>
      <c r="G58" s="436"/>
      <c r="H58" s="436"/>
      <c r="I58" s="436"/>
      <c r="J58" s="436"/>
      <c r="K58" s="436"/>
      <c r="L58" s="436"/>
      <c r="M58" s="436"/>
      <c r="N58" s="436"/>
      <c r="O58" s="436"/>
      <c r="P58" s="436"/>
      <c r="Q58" s="436"/>
      <c r="R58" s="436"/>
      <c r="S58" s="436"/>
      <c r="T58" s="436"/>
      <c r="U58" s="436"/>
      <c r="V58" s="436"/>
      <c r="W58" s="436"/>
      <c r="X58" s="436"/>
      <c r="Y58" s="436"/>
      <c r="Z58" s="436"/>
      <c r="AA58" s="436"/>
      <c r="AB58" s="436"/>
      <c r="AC58" s="436"/>
      <c r="AD58" s="436"/>
      <c r="AE58" s="436"/>
      <c r="AF58" s="436"/>
      <c r="AG58" s="436"/>
      <c r="AO58" s="429"/>
    </row>
    <row r="59" spans="1:60">
      <c r="A59" s="432"/>
      <c r="B59" s="438" t="s">
        <v>57</v>
      </c>
      <c r="C59" s="438"/>
      <c r="D59" s="442">
        <v>1</v>
      </c>
      <c r="E59" s="442">
        <v>2</v>
      </c>
      <c r="F59" s="442">
        <v>3</v>
      </c>
      <c r="G59" s="442">
        <v>4</v>
      </c>
      <c r="H59" s="442">
        <v>5</v>
      </c>
      <c r="I59" s="442">
        <v>6</v>
      </c>
      <c r="J59" s="442">
        <v>7</v>
      </c>
      <c r="K59" s="442">
        <v>8</v>
      </c>
      <c r="L59" s="442">
        <v>9</v>
      </c>
      <c r="M59" s="442">
        <v>10</v>
      </c>
      <c r="N59" s="442">
        <v>11</v>
      </c>
      <c r="O59" s="442">
        <v>12</v>
      </c>
      <c r="P59" s="442">
        <v>13</v>
      </c>
      <c r="Q59" s="442">
        <v>14</v>
      </c>
      <c r="R59" s="442">
        <v>15</v>
      </c>
      <c r="S59" s="442">
        <v>16</v>
      </c>
      <c r="T59" s="442">
        <v>17</v>
      </c>
      <c r="U59" s="442">
        <v>18</v>
      </c>
      <c r="V59" s="442">
        <v>19</v>
      </c>
      <c r="W59" s="442">
        <v>20</v>
      </c>
      <c r="X59" s="442">
        <v>21</v>
      </c>
      <c r="Y59" s="442">
        <v>22</v>
      </c>
      <c r="Z59" s="442">
        <v>23</v>
      </c>
      <c r="AA59" s="442">
        <v>24</v>
      </c>
      <c r="AB59" s="442">
        <v>25</v>
      </c>
      <c r="AC59" s="442">
        <v>26</v>
      </c>
      <c r="AD59" s="442">
        <v>27</v>
      </c>
      <c r="AE59" s="442">
        <v>28</v>
      </c>
      <c r="AF59" s="442">
        <v>29</v>
      </c>
      <c r="AG59" s="442">
        <v>30</v>
      </c>
    </row>
    <row r="60" spans="1:60">
      <c r="A60" s="432"/>
      <c r="B60" s="441" t="s">
        <v>32</v>
      </c>
      <c r="C60" s="441" t="s">
        <v>9</v>
      </c>
      <c r="D60" s="440">
        <v>2023</v>
      </c>
      <c r="E60" s="440">
        <f>$D$60+D59</f>
        <v>2024</v>
      </c>
      <c r="F60" s="440">
        <f t="shared" ref="F60:AG60" si="27">$D$60+E59</f>
        <v>2025</v>
      </c>
      <c r="G60" s="440">
        <f t="shared" si="27"/>
        <v>2026</v>
      </c>
      <c r="H60" s="440">
        <f t="shared" si="27"/>
        <v>2027</v>
      </c>
      <c r="I60" s="440">
        <f t="shared" si="27"/>
        <v>2028</v>
      </c>
      <c r="J60" s="440">
        <f t="shared" si="27"/>
        <v>2029</v>
      </c>
      <c r="K60" s="440">
        <f t="shared" si="27"/>
        <v>2030</v>
      </c>
      <c r="L60" s="440">
        <f t="shared" si="27"/>
        <v>2031</v>
      </c>
      <c r="M60" s="440">
        <f t="shared" si="27"/>
        <v>2032</v>
      </c>
      <c r="N60" s="440">
        <f t="shared" si="27"/>
        <v>2033</v>
      </c>
      <c r="O60" s="440">
        <f t="shared" si="27"/>
        <v>2034</v>
      </c>
      <c r="P60" s="440">
        <f t="shared" si="27"/>
        <v>2035</v>
      </c>
      <c r="Q60" s="440">
        <f t="shared" si="27"/>
        <v>2036</v>
      </c>
      <c r="R60" s="440">
        <f t="shared" si="27"/>
        <v>2037</v>
      </c>
      <c r="S60" s="440">
        <f t="shared" si="27"/>
        <v>2038</v>
      </c>
      <c r="T60" s="440">
        <f t="shared" si="27"/>
        <v>2039</v>
      </c>
      <c r="U60" s="440">
        <f t="shared" si="27"/>
        <v>2040</v>
      </c>
      <c r="V60" s="440">
        <f t="shared" si="27"/>
        <v>2041</v>
      </c>
      <c r="W60" s="440">
        <f t="shared" si="27"/>
        <v>2042</v>
      </c>
      <c r="X60" s="440">
        <f t="shared" si="27"/>
        <v>2043</v>
      </c>
      <c r="Y60" s="440">
        <f t="shared" si="27"/>
        <v>2044</v>
      </c>
      <c r="Z60" s="440">
        <f t="shared" si="27"/>
        <v>2045</v>
      </c>
      <c r="AA60" s="440">
        <f t="shared" si="27"/>
        <v>2046</v>
      </c>
      <c r="AB60" s="440">
        <f t="shared" si="27"/>
        <v>2047</v>
      </c>
      <c r="AC60" s="440">
        <f t="shared" si="27"/>
        <v>2048</v>
      </c>
      <c r="AD60" s="440">
        <f t="shared" si="27"/>
        <v>2049</v>
      </c>
      <c r="AE60" s="440">
        <f t="shared" si="27"/>
        <v>2050</v>
      </c>
      <c r="AF60" s="440">
        <f t="shared" si="27"/>
        <v>2051</v>
      </c>
      <c r="AG60" s="440">
        <f t="shared" si="27"/>
        <v>2052</v>
      </c>
    </row>
    <row r="61" spans="1:60">
      <c r="A61" s="432"/>
      <c r="B61" s="436" t="s">
        <v>353</v>
      </c>
      <c r="C61" s="439">
        <f t="shared" ref="C61:C66" si="28">SUM(D61:AG61)</f>
        <v>2590475400</v>
      </c>
      <c r="D61" s="435">
        <f>H13+H15+H17+H18+H19+H20+H31+H33+H35+H36+H37+H45+H47+H50+H51+H52</f>
        <v>86349180</v>
      </c>
      <c r="E61" s="435">
        <f t="shared" ref="E61:AG61" si="29">I13+I15+I17+I18+I19+I20+I31+I33+I35+I36+I37+I45+I47+I50+I51+I52</f>
        <v>86349180</v>
      </c>
      <c r="F61" s="435">
        <f t="shared" si="29"/>
        <v>86349180</v>
      </c>
      <c r="G61" s="435">
        <f t="shared" si="29"/>
        <v>86349180</v>
      </c>
      <c r="H61" s="435">
        <f t="shared" si="29"/>
        <v>86349180</v>
      </c>
      <c r="I61" s="435">
        <f t="shared" si="29"/>
        <v>86349180</v>
      </c>
      <c r="J61" s="435">
        <f t="shared" si="29"/>
        <v>86349180</v>
      </c>
      <c r="K61" s="435">
        <f t="shared" si="29"/>
        <v>86349180</v>
      </c>
      <c r="L61" s="435">
        <f t="shared" si="29"/>
        <v>86349180</v>
      </c>
      <c r="M61" s="435">
        <f t="shared" si="29"/>
        <v>86349180</v>
      </c>
      <c r="N61" s="435">
        <f t="shared" si="29"/>
        <v>86349180</v>
      </c>
      <c r="O61" s="435">
        <f t="shared" si="29"/>
        <v>86349180</v>
      </c>
      <c r="P61" s="435">
        <f t="shared" si="29"/>
        <v>86349180</v>
      </c>
      <c r="Q61" s="435">
        <f t="shared" si="29"/>
        <v>86349180</v>
      </c>
      <c r="R61" s="435">
        <f t="shared" si="29"/>
        <v>86349180</v>
      </c>
      <c r="S61" s="435">
        <f t="shared" si="29"/>
        <v>86349180</v>
      </c>
      <c r="T61" s="435">
        <f t="shared" si="29"/>
        <v>86349180</v>
      </c>
      <c r="U61" s="435">
        <f t="shared" si="29"/>
        <v>86349180</v>
      </c>
      <c r="V61" s="435">
        <f t="shared" si="29"/>
        <v>86349180</v>
      </c>
      <c r="W61" s="435">
        <f t="shared" si="29"/>
        <v>86349180</v>
      </c>
      <c r="X61" s="435">
        <f t="shared" si="29"/>
        <v>86349180</v>
      </c>
      <c r="Y61" s="435">
        <f t="shared" si="29"/>
        <v>86349180</v>
      </c>
      <c r="Z61" s="435">
        <f t="shared" si="29"/>
        <v>86349180</v>
      </c>
      <c r="AA61" s="435">
        <f t="shared" si="29"/>
        <v>86349180</v>
      </c>
      <c r="AB61" s="435">
        <f t="shared" si="29"/>
        <v>86349180</v>
      </c>
      <c r="AC61" s="435">
        <f t="shared" si="29"/>
        <v>86349180</v>
      </c>
      <c r="AD61" s="435">
        <f t="shared" si="29"/>
        <v>86349180</v>
      </c>
      <c r="AE61" s="435">
        <f t="shared" si="29"/>
        <v>86349180</v>
      </c>
      <c r="AF61" s="435">
        <f t="shared" si="29"/>
        <v>86349180</v>
      </c>
      <c r="AG61" s="435">
        <f t="shared" si="29"/>
        <v>86349180</v>
      </c>
    </row>
    <row r="62" spans="1:60">
      <c r="A62" s="432"/>
      <c r="B62" s="436" t="s">
        <v>351</v>
      </c>
      <c r="C62" s="439">
        <f t="shared" si="28"/>
        <v>506500000</v>
      </c>
      <c r="D62" s="435">
        <v>0</v>
      </c>
      <c r="E62" s="435">
        <v>0</v>
      </c>
      <c r="F62" s="435">
        <v>0</v>
      </c>
      <c r="G62" s="435">
        <v>67000000</v>
      </c>
      <c r="H62" s="435">
        <v>111500000</v>
      </c>
      <c r="I62" s="435">
        <v>111500000</v>
      </c>
      <c r="J62" s="435">
        <v>111500000</v>
      </c>
      <c r="K62" s="435">
        <v>0</v>
      </c>
      <c r="L62" s="435">
        <v>0</v>
      </c>
      <c r="M62" s="435">
        <v>0</v>
      </c>
      <c r="N62" s="435">
        <v>0</v>
      </c>
      <c r="O62" s="435">
        <v>0</v>
      </c>
      <c r="P62" s="435">
        <v>0</v>
      </c>
      <c r="Q62" s="435">
        <v>0</v>
      </c>
      <c r="R62" s="435">
        <v>0</v>
      </c>
      <c r="S62" s="435">
        <v>0</v>
      </c>
      <c r="T62" s="435">
        <v>0</v>
      </c>
      <c r="U62" s="435">
        <v>0</v>
      </c>
      <c r="V62" s="435">
        <v>18000000</v>
      </c>
      <c r="W62" s="435">
        <v>29000000</v>
      </c>
      <c r="X62" s="435">
        <v>29000000</v>
      </c>
      <c r="Y62" s="435">
        <v>29000000</v>
      </c>
      <c r="Z62" s="435">
        <v>0</v>
      </c>
      <c r="AA62" s="435">
        <v>0</v>
      </c>
      <c r="AB62" s="435">
        <v>0</v>
      </c>
      <c r="AC62" s="435">
        <v>0</v>
      </c>
      <c r="AD62" s="435">
        <v>0</v>
      </c>
      <c r="AE62" s="435">
        <v>0</v>
      </c>
      <c r="AF62" s="435">
        <v>0</v>
      </c>
      <c r="AG62" s="435">
        <v>0</v>
      </c>
    </row>
    <row r="63" spans="1:60">
      <c r="A63" s="432"/>
      <c r="B63" s="438" t="s">
        <v>350</v>
      </c>
      <c r="C63" s="437">
        <f t="shared" si="28"/>
        <v>3096975400</v>
      </c>
      <c r="D63" s="437">
        <f t="shared" ref="D63:AG63" si="30">SUM(D61:D62)</f>
        <v>86349180</v>
      </c>
      <c r="E63" s="437">
        <f t="shared" si="30"/>
        <v>86349180</v>
      </c>
      <c r="F63" s="437">
        <f t="shared" si="30"/>
        <v>86349180</v>
      </c>
      <c r="G63" s="437">
        <f t="shared" si="30"/>
        <v>153349180</v>
      </c>
      <c r="H63" s="437">
        <f t="shared" si="30"/>
        <v>197849180</v>
      </c>
      <c r="I63" s="437">
        <f t="shared" si="30"/>
        <v>197849180</v>
      </c>
      <c r="J63" s="437">
        <f t="shared" si="30"/>
        <v>197849180</v>
      </c>
      <c r="K63" s="437">
        <f t="shared" si="30"/>
        <v>86349180</v>
      </c>
      <c r="L63" s="437">
        <f t="shared" si="30"/>
        <v>86349180</v>
      </c>
      <c r="M63" s="437">
        <f t="shared" si="30"/>
        <v>86349180</v>
      </c>
      <c r="N63" s="437">
        <f t="shared" si="30"/>
        <v>86349180</v>
      </c>
      <c r="O63" s="437">
        <f t="shared" si="30"/>
        <v>86349180</v>
      </c>
      <c r="P63" s="437">
        <f t="shared" si="30"/>
        <v>86349180</v>
      </c>
      <c r="Q63" s="437">
        <f t="shared" si="30"/>
        <v>86349180</v>
      </c>
      <c r="R63" s="437">
        <f t="shared" si="30"/>
        <v>86349180</v>
      </c>
      <c r="S63" s="437">
        <f t="shared" si="30"/>
        <v>86349180</v>
      </c>
      <c r="T63" s="437">
        <f t="shared" si="30"/>
        <v>86349180</v>
      </c>
      <c r="U63" s="437">
        <f t="shared" si="30"/>
        <v>86349180</v>
      </c>
      <c r="V63" s="437">
        <f t="shared" si="30"/>
        <v>104349180</v>
      </c>
      <c r="W63" s="437">
        <f t="shared" si="30"/>
        <v>115349180</v>
      </c>
      <c r="X63" s="437">
        <f t="shared" si="30"/>
        <v>115349180</v>
      </c>
      <c r="Y63" s="437">
        <f t="shared" si="30"/>
        <v>115349180</v>
      </c>
      <c r="Z63" s="437">
        <f t="shared" si="30"/>
        <v>86349180</v>
      </c>
      <c r="AA63" s="437">
        <f t="shared" si="30"/>
        <v>86349180</v>
      </c>
      <c r="AB63" s="437">
        <f t="shared" si="30"/>
        <v>86349180</v>
      </c>
      <c r="AC63" s="437">
        <f t="shared" si="30"/>
        <v>86349180</v>
      </c>
      <c r="AD63" s="437">
        <f t="shared" si="30"/>
        <v>86349180</v>
      </c>
      <c r="AE63" s="437">
        <f t="shared" si="30"/>
        <v>86349180</v>
      </c>
      <c r="AF63" s="437">
        <f t="shared" si="30"/>
        <v>86349180</v>
      </c>
      <c r="AG63" s="437">
        <f t="shared" si="30"/>
        <v>86349180</v>
      </c>
    </row>
    <row r="64" spans="1:60">
      <c r="A64" s="432"/>
      <c r="B64" s="436" t="s">
        <v>56</v>
      </c>
      <c r="C64" s="432"/>
      <c r="D64" s="435">
        <f>H22+H39+H54</f>
        <v>5106280</v>
      </c>
      <c r="E64" s="435">
        <f t="shared" ref="E64:AG64" si="31">I22+I39+I54</f>
        <v>5106280</v>
      </c>
      <c r="F64" s="435">
        <f t="shared" si="31"/>
        <v>5106280</v>
      </c>
      <c r="G64" s="435">
        <f t="shared" si="31"/>
        <v>5106280</v>
      </c>
      <c r="H64" s="435">
        <f t="shared" si="31"/>
        <v>5106280</v>
      </c>
      <c r="I64" s="435">
        <f t="shared" si="31"/>
        <v>5106280</v>
      </c>
      <c r="J64" s="435">
        <f t="shared" si="31"/>
        <v>5106280</v>
      </c>
      <c r="K64" s="435">
        <f t="shared" si="31"/>
        <v>5106280</v>
      </c>
      <c r="L64" s="435">
        <f t="shared" si="31"/>
        <v>5106280</v>
      </c>
      <c r="M64" s="435">
        <f t="shared" si="31"/>
        <v>5106280</v>
      </c>
      <c r="N64" s="435">
        <f t="shared" si="31"/>
        <v>5106280</v>
      </c>
      <c r="O64" s="435">
        <f t="shared" si="31"/>
        <v>5106280</v>
      </c>
      <c r="P64" s="435">
        <f t="shared" si="31"/>
        <v>5106280</v>
      </c>
      <c r="Q64" s="435">
        <f t="shared" si="31"/>
        <v>5106280</v>
      </c>
      <c r="R64" s="435">
        <f t="shared" si="31"/>
        <v>5106280</v>
      </c>
      <c r="S64" s="435">
        <f t="shared" si="31"/>
        <v>5106280</v>
      </c>
      <c r="T64" s="435">
        <f t="shared" si="31"/>
        <v>5106280</v>
      </c>
      <c r="U64" s="435">
        <f t="shared" si="31"/>
        <v>5106280</v>
      </c>
      <c r="V64" s="435">
        <f t="shared" si="31"/>
        <v>5106280</v>
      </c>
      <c r="W64" s="435">
        <f t="shared" si="31"/>
        <v>5106280</v>
      </c>
      <c r="X64" s="435">
        <f t="shared" si="31"/>
        <v>5106280</v>
      </c>
      <c r="Y64" s="435">
        <f t="shared" si="31"/>
        <v>5106280</v>
      </c>
      <c r="Z64" s="435">
        <f t="shared" si="31"/>
        <v>5106280</v>
      </c>
      <c r="AA64" s="435">
        <f t="shared" si="31"/>
        <v>5106280</v>
      </c>
      <c r="AB64" s="435">
        <f t="shared" si="31"/>
        <v>5106280</v>
      </c>
      <c r="AC64" s="435">
        <f t="shared" si="31"/>
        <v>5106280</v>
      </c>
      <c r="AD64" s="435">
        <f t="shared" si="31"/>
        <v>5106280</v>
      </c>
      <c r="AE64" s="435">
        <f t="shared" si="31"/>
        <v>5106280</v>
      </c>
      <c r="AF64" s="435">
        <f t="shared" si="31"/>
        <v>5106280</v>
      </c>
      <c r="AG64" s="435">
        <f t="shared" si="31"/>
        <v>5106280</v>
      </c>
    </row>
    <row r="65" spans="1:77" ht="13.5" thickBot="1">
      <c r="A65" s="432"/>
      <c r="B65" s="434" t="s">
        <v>54</v>
      </c>
      <c r="C65" s="433">
        <f>SUM(D65:AG65)</f>
        <v>153188400</v>
      </c>
      <c r="D65" s="433">
        <f t="shared" ref="D65:AG65" si="32">SUM(D64:D64)</f>
        <v>5106280</v>
      </c>
      <c r="E65" s="433">
        <f t="shared" si="32"/>
        <v>5106280</v>
      </c>
      <c r="F65" s="433">
        <f t="shared" si="32"/>
        <v>5106280</v>
      </c>
      <c r="G65" s="433">
        <f t="shared" si="32"/>
        <v>5106280</v>
      </c>
      <c r="H65" s="433">
        <f t="shared" si="32"/>
        <v>5106280</v>
      </c>
      <c r="I65" s="433">
        <f t="shared" si="32"/>
        <v>5106280</v>
      </c>
      <c r="J65" s="433">
        <f t="shared" si="32"/>
        <v>5106280</v>
      </c>
      <c r="K65" s="433">
        <f t="shared" si="32"/>
        <v>5106280</v>
      </c>
      <c r="L65" s="433">
        <f t="shared" si="32"/>
        <v>5106280</v>
      </c>
      <c r="M65" s="433">
        <f t="shared" si="32"/>
        <v>5106280</v>
      </c>
      <c r="N65" s="433">
        <f t="shared" si="32"/>
        <v>5106280</v>
      </c>
      <c r="O65" s="433">
        <f t="shared" si="32"/>
        <v>5106280</v>
      </c>
      <c r="P65" s="433">
        <f t="shared" si="32"/>
        <v>5106280</v>
      </c>
      <c r="Q65" s="433">
        <f t="shared" si="32"/>
        <v>5106280</v>
      </c>
      <c r="R65" s="433">
        <f t="shared" si="32"/>
        <v>5106280</v>
      </c>
      <c r="S65" s="433">
        <f t="shared" si="32"/>
        <v>5106280</v>
      </c>
      <c r="T65" s="433">
        <f t="shared" si="32"/>
        <v>5106280</v>
      </c>
      <c r="U65" s="433">
        <f t="shared" si="32"/>
        <v>5106280</v>
      </c>
      <c r="V65" s="433">
        <f t="shared" si="32"/>
        <v>5106280</v>
      </c>
      <c r="W65" s="433">
        <f t="shared" si="32"/>
        <v>5106280</v>
      </c>
      <c r="X65" s="433">
        <f t="shared" si="32"/>
        <v>5106280</v>
      </c>
      <c r="Y65" s="433">
        <f t="shared" si="32"/>
        <v>5106280</v>
      </c>
      <c r="Z65" s="433">
        <f t="shared" si="32"/>
        <v>5106280</v>
      </c>
      <c r="AA65" s="433">
        <f t="shared" si="32"/>
        <v>5106280</v>
      </c>
      <c r="AB65" s="433">
        <f t="shared" si="32"/>
        <v>5106280</v>
      </c>
      <c r="AC65" s="433">
        <f t="shared" si="32"/>
        <v>5106280</v>
      </c>
      <c r="AD65" s="433">
        <f t="shared" si="32"/>
        <v>5106280</v>
      </c>
      <c r="AE65" s="433">
        <f t="shared" si="32"/>
        <v>5106280</v>
      </c>
      <c r="AF65" s="433">
        <f t="shared" si="32"/>
        <v>5106280</v>
      </c>
      <c r="AG65" s="433">
        <f t="shared" si="32"/>
        <v>5106280</v>
      </c>
    </row>
    <row r="66" spans="1:77" ht="13.5" thickTop="1">
      <c r="A66" s="432"/>
      <c r="B66" s="431" t="s">
        <v>53</v>
      </c>
      <c r="C66" s="430">
        <f t="shared" si="28"/>
        <v>3250163800</v>
      </c>
      <c r="D66" s="430">
        <f t="shared" ref="D66:AG66" si="33">SUM(D63,D65)</f>
        <v>91455460</v>
      </c>
      <c r="E66" s="430">
        <f t="shared" si="33"/>
        <v>91455460</v>
      </c>
      <c r="F66" s="430">
        <f t="shared" si="33"/>
        <v>91455460</v>
      </c>
      <c r="G66" s="430">
        <f t="shared" si="33"/>
        <v>158455460</v>
      </c>
      <c r="H66" s="430">
        <f t="shared" si="33"/>
        <v>202955460</v>
      </c>
      <c r="I66" s="430">
        <f t="shared" si="33"/>
        <v>202955460</v>
      </c>
      <c r="J66" s="430">
        <f t="shared" si="33"/>
        <v>202955460</v>
      </c>
      <c r="K66" s="430">
        <f t="shared" si="33"/>
        <v>91455460</v>
      </c>
      <c r="L66" s="430">
        <f t="shared" si="33"/>
        <v>91455460</v>
      </c>
      <c r="M66" s="430">
        <f t="shared" si="33"/>
        <v>91455460</v>
      </c>
      <c r="N66" s="430">
        <f t="shared" si="33"/>
        <v>91455460</v>
      </c>
      <c r="O66" s="430">
        <f t="shared" si="33"/>
        <v>91455460</v>
      </c>
      <c r="P66" s="430">
        <f t="shared" si="33"/>
        <v>91455460</v>
      </c>
      <c r="Q66" s="430">
        <f t="shared" si="33"/>
        <v>91455460</v>
      </c>
      <c r="R66" s="430">
        <f t="shared" si="33"/>
        <v>91455460</v>
      </c>
      <c r="S66" s="430">
        <f t="shared" si="33"/>
        <v>91455460</v>
      </c>
      <c r="T66" s="430">
        <f t="shared" si="33"/>
        <v>91455460</v>
      </c>
      <c r="U66" s="430">
        <f t="shared" si="33"/>
        <v>91455460</v>
      </c>
      <c r="V66" s="430">
        <f t="shared" si="33"/>
        <v>109455460</v>
      </c>
      <c r="W66" s="430">
        <f t="shared" si="33"/>
        <v>120455460</v>
      </c>
      <c r="X66" s="430">
        <f t="shared" si="33"/>
        <v>120455460</v>
      </c>
      <c r="Y66" s="430">
        <f t="shared" si="33"/>
        <v>120455460</v>
      </c>
      <c r="Z66" s="430">
        <f t="shared" si="33"/>
        <v>91455460</v>
      </c>
      <c r="AA66" s="430">
        <f t="shared" si="33"/>
        <v>91455460</v>
      </c>
      <c r="AB66" s="430">
        <f t="shared" si="33"/>
        <v>91455460</v>
      </c>
      <c r="AC66" s="430">
        <f t="shared" si="33"/>
        <v>91455460</v>
      </c>
      <c r="AD66" s="430">
        <f t="shared" si="33"/>
        <v>91455460</v>
      </c>
      <c r="AE66" s="430">
        <f t="shared" si="33"/>
        <v>91455460</v>
      </c>
      <c r="AF66" s="430">
        <f t="shared" si="33"/>
        <v>91455460</v>
      </c>
      <c r="AG66" s="430">
        <f t="shared" si="33"/>
        <v>91455460</v>
      </c>
    </row>
    <row r="68" spans="1:77" s="429" customFormat="1">
      <c r="A68" s="428"/>
      <c r="B68" s="428"/>
      <c r="C68" s="428"/>
      <c r="D68" s="428"/>
      <c r="E68" s="428"/>
      <c r="F68" s="428"/>
      <c r="G68" s="428"/>
      <c r="H68" s="428"/>
      <c r="I68" s="428"/>
      <c r="J68" s="428"/>
      <c r="K68" s="428"/>
      <c r="L68" s="428"/>
      <c r="M68" s="428"/>
      <c r="N68" s="428"/>
      <c r="O68" s="428"/>
      <c r="P68" s="428"/>
      <c r="Q68" s="428"/>
      <c r="R68" s="428"/>
      <c r="S68" s="428"/>
      <c r="T68" s="428"/>
      <c r="U68" s="428"/>
      <c r="V68" s="428"/>
      <c r="W68" s="428"/>
      <c r="X68" s="428"/>
      <c r="Y68" s="428"/>
      <c r="Z68" s="428"/>
      <c r="AA68" s="428"/>
      <c r="AB68" s="428"/>
      <c r="AC68" s="428"/>
      <c r="AD68" s="428"/>
      <c r="AE68" s="428"/>
      <c r="AF68" s="428"/>
      <c r="AG68" s="428"/>
      <c r="AH68" s="428"/>
      <c r="AI68" s="428"/>
      <c r="AJ68" s="428"/>
      <c r="AK68" s="428"/>
      <c r="AL68" s="428"/>
      <c r="AM68" s="428"/>
      <c r="AN68" s="428"/>
      <c r="AO68" s="428"/>
      <c r="AP68" s="428"/>
      <c r="AQ68" s="428"/>
      <c r="AR68" s="428"/>
      <c r="AS68" s="428"/>
      <c r="AT68" s="428"/>
      <c r="AU68" s="428"/>
      <c r="AV68" s="428"/>
      <c r="AW68" s="428"/>
      <c r="AX68" s="428"/>
      <c r="AY68" s="428"/>
      <c r="AZ68" s="428"/>
      <c r="BA68" s="428"/>
      <c r="BB68" s="428"/>
      <c r="BC68" s="428"/>
      <c r="BD68" s="428"/>
      <c r="BE68" s="428"/>
      <c r="BF68" s="428"/>
      <c r="BG68" s="428"/>
      <c r="BH68" s="428"/>
      <c r="BI68" s="428"/>
      <c r="BJ68" s="428"/>
      <c r="BK68" s="428"/>
      <c r="BL68" s="428"/>
      <c r="BM68" s="428"/>
      <c r="BN68" s="428"/>
      <c r="BO68" s="428"/>
      <c r="BP68" s="428"/>
      <c r="BQ68" s="428"/>
      <c r="BR68" s="428"/>
      <c r="BS68" s="428"/>
      <c r="BT68" s="428"/>
      <c r="BU68" s="428"/>
      <c r="BV68" s="428"/>
      <c r="BW68" s="428"/>
      <c r="BX68" s="428"/>
      <c r="BY68" s="428"/>
    </row>
    <row r="75" spans="1:77" s="429" customFormat="1">
      <c r="A75" s="428"/>
      <c r="B75" s="428"/>
      <c r="C75" s="428"/>
      <c r="D75" s="428"/>
      <c r="E75" s="428"/>
      <c r="F75" s="428"/>
      <c r="G75" s="428"/>
      <c r="H75" s="428"/>
      <c r="I75" s="428"/>
      <c r="J75" s="428"/>
      <c r="K75" s="428"/>
      <c r="L75" s="428"/>
      <c r="M75" s="428"/>
      <c r="N75" s="428"/>
      <c r="O75" s="428"/>
      <c r="P75" s="428"/>
      <c r="Q75" s="428"/>
      <c r="R75" s="428"/>
      <c r="S75" s="428"/>
      <c r="T75" s="428"/>
      <c r="U75" s="428"/>
      <c r="V75" s="428"/>
      <c r="W75" s="428"/>
      <c r="X75" s="428"/>
      <c r="Y75" s="428"/>
      <c r="Z75" s="428"/>
      <c r="AA75" s="428"/>
      <c r="AB75" s="428"/>
      <c r="AC75" s="428"/>
      <c r="AD75" s="428"/>
      <c r="AE75" s="428"/>
      <c r="AF75" s="428"/>
      <c r="AG75" s="428"/>
      <c r="AH75" s="428"/>
      <c r="AI75" s="428"/>
      <c r="AJ75" s="428"/>
      <c r="AK75" s="428"/>
      <c r="AL75" s="428"/>
      <c r="AM75" s="428"/>
      <c r="AN75" s="428"/>
      <c r="AO75" s="428"/>
      <c r="AP75" s="428"/>
      <c r="AQ75" s="428"/>
      <c r="AR75" s="428"/>
      <c r="AS75" s="428"/>
      <c r="AT75" s="428"/>
      <c r="AU75" s="428"/>
      <c r="AV75" s="428"/>
      <c r="AW75" s="428"/>
      <c r="AX75" s="428"/>
      <c r="AY75" s="428"/>
      <c r="AZ75" s="428"/>
      <c r="BA75" s="428"/>
      <c r="BB75" s="428"/>
      <c r="BC75" s="428"/>
      <c r="BD75" s="428"/>
      <c r="BE75" s="428"/>
      <c r="BF75" s="428"/>
      <c r="BG75" s="428"/>
      <c r="BH75" s="428"/>
      <c r="BI75" s="428"/>
      <c r="BJ75" s="428"/>
      <c r="BK75" s="428"/>
      <c r="BL75" s="428"/>
      <c r="BM75" s="428"/>
      <c r="BN75" s="428"/>
      <c r="BO75" s="428"/>
      <c r="BP75" s="428"/>
      <c r="BQ75" s="428"/>
      <c r="BR75" s="428"/>
      <c r="BS75" s="428"/>
      <c r="BT75" s="428"/>
      <c r="BU75" s="428"/>
      <c r="BV75" s="428"/>
      <c r="BW75" s="428"/>
      <c r="BX75" s="428"/>
      <c r="BY75" s="428"/>
    </row>
    <row r="90" spans="1:61">
      <c r="AP90" s="429"/>
      <c r="AQ90" s="429"/>
      <c r="AR90" s="429"/>
      <c r="AS90" s="429"/>
      <c r="AT90" s="429"/>
      <c r="AU90" s="429"/>
      <c r="AV90" s="429"/>
      <c r="AW90" s="429"/>
      <c r="AX90" s="429"/>
      <c r="AY90" s="429"/>
      <c r="AZ90" s="429"/>
      <c r="BA90" s="429"/>
      <c r="BB90" s="429"/>
      <c r="BC90" s="429"/>
      <c r="BD90" s="429"/>
      <c r="BE90" s="429"/>
      <c r="BF90" s="429"/>
      <c r="BG90" s="429"/>
      <c r="BH90" s="429"/>
      <c r="BI90" s="429"/>
    </row>
    <row r="91" spans="1:61" s="429" customFormat="1">
      <c r="A91" s="428"/>
      <c r="B91" s="428"/>
      <c r="C91" s="428"/>
      <c r="D91" s="428"/>
      <c r="E91" s="428"/>
      <c r="F91" s="428"/>
      <c r="G91" s="428"/>
      <c r="H91" s="428"/>
      <c r="I91" s="428"/>
      <c r="J91" s="428"/>
      <c r="K91" s="428"/>
      <c r="L91" s="428"/>
      <c r="M91" s="428"/>
      <c r="N91" s="428"/>
      <c r="O91" s="428"/>
      <c r="P91" s="428"/>
      <c r="Q91" s="428"/>
      <c r="R91" s="428"/>
      <c r="S91" s="428"/>
      <c r="T91" s="428"/>
      <c r="U91" s="428"/>
      <c r="V91" s="428"/>
      <c r="W91" s="428"/>
      <c r="X91" s="428"/>
      <c r="Y91" s="428"/>
      <c r="Z91" s="428"/>
      <c r="AA91" s="428"/>
      <c r="AB91" s="428"/>
      <c r="AC91" s="428"/>
      <c r="AD91" s="428"/>
      <c r="AE91" s="428"/>
      <c r="AF91" s="428"/>
      <c r="AG91" s="428"/>
      <c r="AH91" s="428"/>
      <c r="AI91" s="428"/>
      <c r="AJ91" s="428"/>
      <c r="AK91" s="428"/>
      <c r="AL91" s="428"/>
      <c r="AM91" s="428"/>
      <c r="AN91" s="428"/>
      <c r="AO91" s="428"/>
      <c r="AP91" s="428"/>
      <c r="AQ91" s="428"/>
      <c r="AR91" s="428"/>
      <c r="AS91" s="428"/>
      <c r="AT91" s="428"/>
      <c r="AU91" s="428"/>
      <c r="AV91" s="428"/>
      <c r="AW91" s="428"/>
      <c r="AX91" s="428"/>
      <c r="AY91" s="428"/>
      <c r="AZ91" s="428"/>
      <c r="BA91" s="428"/>
      <c r="BB91" s="428"/>
      <c r="BC91" s="428"/>
      <c r="BD91" s="428"/>
      <c r="BE91" s="428"/>
      <c r="BF91" s="428"/>
      <c r="BG91" s="428"/>
      <c r="BH91" s="428"/>
      <c r="BI91" s="428"/>
    </row>
  </sheetData>
  <sheetProtection algorithmName="SHA-512" hashValue="eQYfrD33xUsT87aJ4khzIscwPN3lSgUwbrpsal6yY425Eblz7WagNz0P7XujJKzGZJ/tst4321Nn5L6SLOOmdQ==" saltValue="ngPCBP9bwkpdqL/39cwIzA==" spinCount="100000" sheet="1" objects="1" scenarios="1"/>
  <mergeCells count="20">
    <mergeCell ref="G29:G39"/>
    <mergeCell ref="B1:AK1"/>
    <mergeCell ref="B2:G4"/>
    <mergeCell ref="B5:G5"/>
    <mergeCell ref="B6:G6"/>
    <mergeCell ref="B7:G7"/>
    <mergeCell ref="B10:B11"/>
    <mergeCell ref="D10:D12"/>
    <mergeCell ref="E10:E12"/>
    <mergeCell ref="F10:F12"/>
    <mergeCell ref="G13:G23"/>
    <mergeCell ref="B26:B27"/>
    <mergeCell ref="D26:D28"/>
    <mergeCell ref="E26:E28"/>
    <mergeCell ref="F26:F28"/>
    <mergeCell ref="B42:B43"/>
    <mergeCell ref="D42:D44"/>
    <mergeCell ref="E42:E44"/>
    <mergeCell ref="F42:F44"/>
    <mergeCell ref="G45:G5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27FF-8D97-4BDD-9115-D7641E821157}">
  <sheetPr>
    <tabColor theme="0" tint="-0.14999847407452621"/>
  </sheetPr>
  <dimension ref="A1:BY142"/>
  <sheetViews>
    <sheetView topLeftCell="A52" workbookViewId="0">
      <selection activeCell="D73" sqref="D73:D75"/>
    </sheetView>
  </sheetViews>
  <sheetFormatPr defaultColWidth="8.85546875" defaultRowHeight="12.75"/>
  <cols>
    <col min="1" max="1" width="1.42578125" style="428" customWidth="1"/>
    <col min="2" max="2" width="32.140625" style="428" bestFit="1" customWidth="1"/>
    <col min="3" max="3" width="11.42578125" style="428" bestFit="1" customWidth="1"/>
    <col min="4" max="4" width="11.140625" style="428" customWidth="1"/>
    <col min="5" max="5" width="9.42578125" style="428" customWidth="1"/>
    <col min="6" max="6" width="11.140625" style="428" customWidth="1"/>
    <col min="7" max="7" width="10" style="428" customWidth="1"/>
    <col min="8" max="8" width="10.140625" style="428" bestFit="1" customWidth="1"/>
    <col min="9" max="11" width="9.85546875" style="428" bestFit="1" customWidth="1"/>
    <col min="12" max="12" width="10.140625" style="428" bestFit="1" customWidth="1"/>
    <col min="13" max="37" width="9.85546875" style="428" bestFit="1" customWidth="1"/>
    <col min="38" max="16384" width="8.85546875" style="428"/>
  </cols>
  <sheetData>
    <row r="1" spans="1:37">
      <c r="B1" s="904"/>
      <c r="C1" s="904"/>
      <c r="D1" s="904"/>
      <c r="E1" s="904"/>
      <c r="F1" s="904"/>
      <c r="G1" s="904"/>
      <c r="H1" s="905"/>
      <c r="I1" s="905"/>
      <c r="J1" s="905"/>
      <c r="K1" s="905"/>
      <c r="L1" s="905"/>
      <c r="M1" s="905"/>
      <c r="N1" s="905"/>
      <c r="O1" s="905"/>
      <c r="P1" s="905"/>
      <c r="Q1" s="905"/>
      <c r="R1" s="905"/>
      <c r="S1" s="905"/>
      <c r="T1" s="905"/>
      <c r="U1" s="905"/>
      <c r="V1" s="905"/>
      <c r="W1" s="905"/>
      <c r="X1" s="905"/>
      <c r="Y1" s="905"/>
      <c r="Z1" s="905"/>
      <c r="AA1" s="905"/>
      <c r="AB1" s="905"/>
      <c r="AC1" s="905"/>
      <c r="AD1" s="905"/>
      <c r="AE1" s="905"/>
      <c r="AF1" s="905"/>
      <c r="AG1" s="905"/>
      <c r="AH1" s="905"/>
      <c r="AI1" s="905"/>
      <c r="AJ1" s="905"/>
      <c r="AK1" s="905"/>
    </row>
    <row r="2" spans="1:37">
      <c r="A2" s="452"/>
      <c r="B2" s="906" t="s">
        <v>543</v>
      </c>
      <c r="C2" s="906"/>
      <c r="D2" s="906"/>
      <c r="E2" s="906"/>
      <c r="F2" s="906"/>
      <c r="G2" s="907"/>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row>
    <row r="3" spans="1:37">
      <c r="A3" s="452"/>
      <c r="B3" s="906"/>
      <c r="C3" s="906"/>
      <c r="D3" s="906"/>
      <c r="E3" s="906"/>
      <c r="F3" s="906"/>
      <c r="G3" s="907"/>
      <c r="H3" s="452"/>
      <c r="I3" s="452"/>
      <c r="J3" s="452"/>
      <c r="K3" s="452"/>
      <c r="L3" s="452"/>
      <c r="M3" s="452"/>
      <c r="N3" s="452"/>
      <c r="O3" s="452"/>
      <c r="P3" s="452"/>
      <c r="Q3" s="452"/>
      <c r="R3" s="452"/>
      <c r="S3" s="452"/>
      <c r="T3" s="452"/>
      <c r="U3" s="452"/>
      <c r="V3" s="452"/>
      <c r="W3" s="452"/>
      <c r="X3" s="452"/>
      <c r="Y3" s="452"/>
      <c r="Z3" s="452"/>
      <c r="AA3" s="452"/>
      <c r="AB3" s="452"/>
      <c r="AC3" s="452"/>
      <c r="AD3" s="452"/>
      <c r="AE3" s="452"/>
      <c r="AF3" s="452"/>
      <c r="AG3" s="452"/>
      <c r="AH3" s="452"/>
      <c r="AI3" s="452"/>
      <c r="AJ3" s="452"/>
      <c r="AK3" s="452"/>
    </row>
    <row r="4" spans="1:37" s="429" customFormat="1">
      <c r="A4" s="485"/>
      <c r="B4" s="906"/>
      <c r="C4" s="906"/>
      <c r="D4" s="906"/>
      <c r="E4" s="906"/>
      <c r="F4" s="906"/>
      <c r="G4" s="907"/>
      <c r="H4" s="485"/>
      <c r="I4" s="485"/>
      <c r="J4" s="485"/>
      <c r="K4" s="485"/>
      <c r="L4" s="485"/>
      <c r="M4" s="485"/>
      <c r="N4" s="485"/>
      <c r="O4" s="485"/>
      <c r="P4" s="485"/>
      <c r="Q4" s="485"/>
      <c r="R4" s="485"/>
      <c r="S4" s="485"/>
      <c r="T4" s="485"/>
      <c r="U4" s="485"/>
      <c r="V4" s="485"/>
      <c r="W4" s="485"/>
      <c r="X4" s="485"/>
      <c r="Y4" s="485"/>
      <c r="Z4" s="485"/>
      <c r="AA4" s="485"/>
      <c r="AB4" s="485"/>
      <c r="AC4" s="485"/>
      <c r="AD4" s="485"/>
      <c r="AE4" s="485"/>
      <c r="AF4" s="485"/>
      <c r="AG4" s="485"/>
      <c r="AH4" s="485"/>
      <c r="AI4" s="485"/>
      <c r="AJ4" s="485"/>
      <c r="AK4" s="485"/>
    </row>
    <row r="5" spans="1:37">
      <c r="A5" s="452"/>
      <c r="B5" s="908" t="s">
        <v>722</v>
      </c>
      <c r="C5" s="909"/>
      <c r="D5" s="909"/>
      <c r="E5" s="909"/>
      <c r="F5" s="909"/>
      <c r="G5" s="910"/>
      <c r="H5" s="452"/>
      <c r="I5" s="554"/>
      <c r="J5" s="452"/>
      <c r="K5" s="452"/>
      <c r="L5" s="452"/>
      <c r="M5" s="452"/>
      <c r="N5" s="452"/>
      <c r="O5" s="452"/>
      <c r="P5" s="452"/>
      <c r="Q5" s="452"/>
      <c r="R5" s="452"/>
      <c r="S5" s="452"/>
      <c r="T5" s="452"/>
      <c r="U5" s="452"/>
      <c r="V5" s="452"/>
      <c r="W5" s="452"/>
      <c r="X5" s="452"/>
      <c r="Y5" s="452"/>
      <c r="Z5" s="452"/>
      <c r="AA5" s="452"/>
      <c r="AB5" s="452"/>
      <c r="AC5" s="452"/>
      <c r="AD5" s="452"/>
      <c r="AE5" s="452"/>
      <c r="AF5" s="452"/>
      <c r="AG5" s="452"/>
      <c r="AH5" s="452"/>
      <c r="AI5" s="452"/>
      <c r="AJ5" s="452"/>
      <c r="AK5" s="452"/>
    </row>
    <row r="6" spans="1:37">
      <c r="A6" s="452"/>
      <c r="B6" s="908" t="s">
        <v>723</v>
      </c>
      <c r="C6" s="909"/>
      <c r="D6" s="909"/>
      <c r="E6" s="909"/>
      <c r="F6" s="909"/>
      <c r="G6" s="910"/>
      <c r="H6" s="452"/>
      <c r="I6" s="554"/>
      <c r="J6" s="452"/>
      <c r="K6" s="452"/>
      <c r="L6" s="452"/>
      <c r="M6" s="452"/>
      <c r="N6" s="452"/>
      <c r="O6" s="452"/>
      <c r="P6" s="452"/>
      <c r="Q6" s="452"/>
      <c r="R6" s="452"/>
      <c r="S6" s="452"/>
      <c r="T6" s="452"/>
      <c r="U6" s="452"/>
      <c r="V6" s="452"/>
      <c r="W6" s="452"/>
      <c r="X6" s="452"/>
      <c r="Y6" s="452"/>
      <c r="Z6" s="452"/>
      <c r="AA6" s="452"/>
      <c r="AB6" s="452"/>
      <c r="AC6" s="452"/>
      <c r="AD6" s="452"/>
      <c r="AE6" s="452"/>
      <c r="AF6" s="452"/>
      <c r="AG6" s="452"/>
      <c r="AH6" s="452"/>
      <c r="AI6" s="452"/>
      <c r="AJ6" s="452"/>
      <c r="AK6" s="452"/>
    </row>
    <row r="7" spans="1:37">
      <c r="A7" s="452"/>
      <c r="B7" s="558"/>
      <c r="C7" s="558"/>
      <c r="D7" s="558"/>
      <c r="E7" s="558"/>
      <c r="F7" s="558"/>
      <c r="G7" s="558"/>
      <c r="H7" s="452"/>
      <c r="I7" s="554"/>
      <c r="J7" s="452"/>
      <c r="K7" s="452"/>
      <c r="L7" s="452"/>
      <c r="M7" s="452"/>
      <c r="N7" s="452"/>
      <c r="O7" s="452"/>
      <c r="P7" s="452"/>
      <c r="Q7" s="452"/>
      <c r="R7" s="452"/>
      <c r="S7" s="452"/>
      <c r="T7" s="452"/>
      <c r="U7" s="452"/>
      <c r="V7" s="452"/>
      <c r="W7" s="452"/>
      <c r="X7" s="452"/>
      <c r="Y7" s="452"/>
      <c r="Z7" s="452"/>
      <c r="AA7" s="452"/>
      <c r="AB7" s="452"/>
      <c r="AC7" s="452"/>
      <c r="AD7" s="452"/>
      <c r="AE7" s="452"/>
      <c r="AF7" s="452"/>
      <c r="AG7" s="452"/>
      <c r="AH7" s="452"/>
      <c r="AI7" s="452"/>
      <c r="AJ7" s="452"/>
      <c r="AK7" s="452"/>
    </row>
    <row r="8" spans="1:37" ht="13.5" thickBot="1">
      <c r="A8" s="452"/>
      <c r="B8" s="558"/>
      <c r="C8" s="558"/>
      <c r="D8" s="558"/>
      <c r="E8" s="558"/>
      <c r="F8" s="558"/>
      <c r="G8" s="558"/>
      <c r="H8" s="452"/>
      <c r="I8" s="554"/>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row>
    <row r="9" spans="1:37" ht="14.1" customHeight="1">
      <c r="A9" s="452"/>
      <c r="B9" s="892" t="s">
        <v>538</v>
      </c>
      <c r="C9" s="507" t="s">
        <v>532</v>
      </c>
      <c r="D9" s="897" t="s">
        <v>531</v>
      </c>
      <c r="E9" s="897" t="s">
        <v>530</v>
      </c>
      <c r="F9" s="916" t="s">
        <v>529</v>
      </c>
      <c r="G9" s="506" t="s">
        <v>528</v>
      </c>
      <c r="H9" s="505">
        <v>2023</v>
      </c>
      <c r="I9" s="504">
        <f>H9+1</f>
        <v>2024</v>
      </c>
      <c r="J9" s="504">
        <f>I9+1</f>
        <v>2025</v>
      </c>
      <c r="K9" s="504">
        <f t="shared" ref="K9" si="0">J9+1</f>
        <v>2026</v>
      </c>
      <c r="L9" s="452"/>
      <c r="M9" s="452"/>
      <c r="N9" s="452"/>
      <c r="O9" s="452"/>
      <c r="P9" s="452"/>
      <c r="Q9" s="452"/>
      <c r="R9" s="452"/>
      <c r="S9" s="452"/>
      <c r="T9" s="452"/>
      <c r="U9" s="452"/>
      <c r="V9" s="452"/>
      <c r="W9" s="452"/>
      <c r="X9" s="452"/>
      <c r="Y9" s="452"/>
      <c r="Z9" s="452"/>
      <c r="AA9" s="452"/>
      <c r="AB9" s="452"/>
      <c r="AC9" s="452"/>
      <c r="AD9" s="452"/>
      <c r="AE9" s="452"/>
      <c r="AF9" s="452"/>
      <c r="AG9" s="452"/>
      <c r="AH9" s="452"/>
      <c r="AI9" s="452"/>
      <c r="AJ9" s="452"/>
      <c r="AK9" s="452"/>
    </row>
    <row r="10" spans="1:37" ht="14.1" customHeight="1">
      <c r="A10" s="452"/>
      <c r="B10" s="893"/>
      <c r="C10" s="503" t="s">
        <v>527</v>
      </c>
      <c r="D10" s="898"/>
      <c r="E10" s="898"/>
      <c r="F10" s="917"/>
      <c r="G10" s="502" t="s">
        <v>526</v>
      </c>
      <c r="H10" s="541">
        <v>17</v>
      </c>
      <c r="I10" s="501">
        <v>17</v>
      </c>
      <c r="J10" s="501">
        <v>14</v>
      </c>
      <c r="K10" s="501">
        <v>6</v>
      </c>
      <c r="L10" s="452"/>
      <c r="M10" s="452"/>
      <c r="N10" s="452"/>
      <c r="O10" s="452"/>
      <c r="P10" s="452"/>
      <c r="Q10" s="452"/>
      <c r="R10" s="452"/>
      <c r="S10" s="452"/>
      <c r="T10" s="452"/>
      <c r="U10" s="452"/>
      <c r="V10" s="452"/>
      <c r="W10" s="452"/>
      <c r="X10" s="452"/>
      <c r="Y10" s="452"/>
      <c r="Z10" s="452"/>
      <c r="AA10" s="452"/>
      <c r="AB10" s="452"/>
      <c r="AC10" s="452"/>
      <c r="AD10" s="452"/>
      <c r="AE10" s="452"/>
      <c r="AF10" s="452"/>
      <c r="AG10" s="452"/>
      <c r="AH10" s="452"/>
      <c r="AI10" s="452"/>
      <c r="AJ10" s="452"/>
      <c r="AK10" s="452"/>
    </row>
    <row r="11" spans="1:37" ht="13.5" thickBot="1">
      <c r="A11" s="452"/>
      <c r="B11" s="500" t="s">
        <v>525</v>
      </c>
      <c r="C11" s="499">
        <f>340*900</f>
        <v>306000</v>
      </c>
      <c r="D11" s="919"/>
      <c r="E11" s="919"/>
      <c r="F11" s="920"/>
      <c r="G11" s="498" t="s">
        <v>524</v>
      </c>
      <c r="H11" s="540">
        <v>13</v>
      </c>
      <c r="I11" s="497">
        <v>13</v>
      </c>
      <c r="J11" s="497">
        <v>11</v>
      </c>
      <c r="K11" s="497">
        <v>3</v>
      </c>
      <c r="L11" s="452"/>
      <c r="M11" s="452"/>
      <c r="N11" s="452"/>
      <c r="O11" s="452"/>
      <c r="P11" s="452"/>
      <c r="Q11" s="452"/>
      <c r="R11" s="452"/>
      <c r="S11" s="452"/>
      <c r="T11" s="452"/>
      <c r="U11" s="452"/>
      <c r="V11" s="452"/>
      <c r="W11" s="452"/>
      <c r="X11" s="452"/>
      <c r="Y11" s="452"/>
      <c r="Z11" s="452"/>
      <c r="AA11" s="452"/>
      <c r="AB11" s="452"/>
      <c r="AC11" s="452"/>
      <c r="AD11" s="452"/>
      <c r="AE11" s="452"/>
      <c r="AF11" s="452"/>
      <c r="AG11" s="452"/>
      <c r="AH11" s="452"/>
      <c r="AI11" s="452"/>
      <c r="AJ11" s="452"/>
      <c r="AK11" s="452"/>
    </row>
    <row r="12" spans="1:37">
      <c r="A12" s="452"/>
      <c r="B12" s="496" t="s">
        <v>523</v>
      </c>
      <c r="C12" s="495" t="s">
        <v>276</v>
      </c>
      <c r="D12" s="494">
        <v>0.88</v>
      </c>
      <c r="E12" s="493">
        <f t="shared" ref="E12" si="1">900*340</f>
        <v>306000</v>
      </c>
      <c r="F12" s="492">
        <f>D12*E12</f>
        <v>269280</v>
      </c>
      <c r="G12" s="914"/>
      <c r="H12" s="559">
        <f>$F$12*H10</f>
        <v>4577760</v>
      </c>
      <c r="I12" s="560">
        <f t="shared" ref="I12:K12" si="2">$F$12*I10</f>
        <v>4577760</v>
      </c>
      <c r="J12" s="560">
        <f t="shared" si="2"/>
        <v>3769920</v>
      </c>
      <c r="K12" s="561">
        <f t="shared" si="2"/>
        <v>1615680</v>
      </c>
      <c r="L12" s="452"/>
      <c r="M12" s="452"/>
      <c r="N12" s="452"/>
      <c r="O12" s="452"/>
      <c r="P12" s="452"/>
      <c r="Q12" s="452"/>
      <c r="R12" s="452"/>
      <c r="S12" s="452"/>
      <c r="T12" s="452"/>
      <c r="U12" s="452"/>
      <c r="V12" s="452"/>
      <c r="W12" s="452"/>
      <c r="X12" s="452"/>
      <c r="Y12" s="452"/>
      <c r="Z12" s="452"/>
      <c r="AA12" s="452"/>
      <c r="AB12" s="452"/>
      <c r="AC12" s="452"/>
      <c r="AD12" s="452"/>
      <c r="AE12" s="452"/>
      <c r="AF12" s="452"/>
      <c r="AG12" s="452"/>
      <c r="AH12" s="452"/>
      <c r="AI12" s="452"/>
      <c r="AJ12" s="452"/>
      <c r="AK12" s="452"/>
    </row>
    <row r="13" spans="1:37">
      <c r="A13" s="452"/>
      <c r="B13" s="477" t="s">
        <v>522</v>
      </c>
      <c r="C13" s="476" t="s">
        <v>276</v>
      </c>
      <c r="D13" s="484"/>
      <c r="E13" s="562"/>
      <c r="F13" s="528"/>
      <c r="G13" s="914"/>
      <c r="H13" s="532"/>
      <c r="I13" s="531"/>
      <c r="J13" s="531"/>
      <c r="K13" s="530"/>
      <c r="L13" s="452"/>
      <c r="M13" s="452"/>
      <c r="N13" s="452"/>
      <c r="O13" s="452"/>
      <c r="P13" s="452"/>
      <c r="Q13" s="452"/>
      <c r="R13" s="452"/>
      <c r="S13" s="452"/>
      <c r="T13" s="452"/>
      <c r="U13" s="452"/>
      <c r="V13" s="452"/>
      <c r="W13" s="452"/>
      <c r="X13" s="452"/>
      <c r="Y13" s="452"/>
      <c r="Z13" s="452"/>
      <c r="AA13" s="452"/>
      <c r="AB13" s="452"/>
      <c r="AC13" s="452"/>
      <c r="AD13" s="452"/>
      <c r="AE13" s="452"/>
      <c r="AF13" s="452"/>
      <c r="AG13" s="452"/>
      <c r="AH13" s="452"/>
      <c r="AI13" s="452"/>
      <c r="AJ13" s="452"/>
      <c r="AK13" s="452"/>
    </row>
    <row r="14" spans="1:37">
      <c r="A14" s="452"/>
      <c r="B14" s="461" t="s">
        <v>521</v>
      </c>
      <c r="C14" s="476" t="s">
        <v>276</v>
      </c>
      <c r="D14" s="459">
        <v>0.04</v>
      </c>
      <c r="E14" s="458">
        <f>900*340</f>
        <v>306000</v>
      </c>
      <c r="F14" s="457">
        <f>D14*E14</f>
        <v>12240</v>
      </c>
      <c r="G14" s="914"/>
      <c r="H14" s="563">
        <f>$F$14*H10</f>
        <v>208080</v>
      </c>
      <c r="I14" s="564">
        <f t="shared" ref="I14:K14" si="3">$F$14*I10</f>
        <v>208080</v>
      </c>
      <c r="J14" s="564">
        <f t="shared" si="3"/>
        <v>171360</v>
      </c>
      <c r="K14" s="565">
        <f t="shared" si="3"/>
        <v>73440</v>
      </c>
      <c r="L14" s="452"/>
      <c r="M14" s="452"/>
      <c r="N14" s="452"/>
      <c r="O14" s="452"/>
      <c r="P14" s="452"/>
      <c r="Q14" s="452"/>
      <c r="R14" s="452"/>
      <c r="S14" s="452"/>
      <c r="T14" s="452"/>
      <c r="U14" s="452"/>
      <c r="V14" s="452"/>
      <c r="W14" s="452"/>
      <c r="X14" s="452"/>
      <c r="Y14" s="452"/>
      <c r="Z14" s="452"/>
      <c r="AA14" s="452"/>
      <c r="AB14" s="452"/>
      <c r="AC14" s="452"/>
      <c r="AD14" s="452"/>
      <c r="AE14" s="452"/>
      <c r="AF14" s="452"/>
      <c r="AG14" s="452"/>
      <c r="AH14" s="452"/>
      <c r="AI14" s="452"/>
      <c r="AJ14" s="452"/>
      <c r="AK14" s="452"/>
    </row>
    <row r="15" spans="1:37">
      <c r="A15" s="452"/>
      <c r="B15" s="477" t="s">
        <v>284</v>
      </c>
      <c r="C15" s="476" t="s">
        <v>276</v>
      </c>
      <c r="D15" s="484"/>
      <c r="E15" s="529"/>
      <c r="F15" s="528"/>
      <c r="G15" s="914"/>
      <c r="H15" s="532"/>
      <c r="I15" s="531"/>
      <c r="J15" s="531"/>
      <c r="K15" s="530"/>
      <c r="L15" s="452"/>
      <c r="M15" s="452"/>
      <c r="N15" s="452"/>
      <c r="O15" s="452"/>
      <c r="P15" s="452"/>
      <c r="Q15" s="452"/>
      <c r="R15" s="452"/>
      <c r="S15" s="452"/>
      <c r="T15" s="452"/>
      <c r="U15" s="452"/>
      <c r="V15" s="452"/>
      <c r="W15" s="452"/>
      <c r="X15" s="452"/>
      <c r="Y15" s="452"/>
      <c r="Z15" s="452"/>
      <c r="AA15" s="452"/>
      <c r="AB15" s="452"/>
      <c r="AC15" s="452"/>
      <c r="AD15" s="452"/>
      <c r="AE15" s="452"/>
      <c r="AF15" s="452"/>
      <c r="AG15" s="452"/>
      <c r="AH15" s="452"/>
      <c r="AI15" s="452"/>
      <c r="AJ15" s="452"/>
      <c r="AK15" s="452"/>
    </row>
    <row r="16" spans="1:37">
      <c r="A16" s="452"/>
      <c r="B16" s="477" t="s">
        <v>287</v>
      </c>
      <c r="C16" s="476" t="s">
        <v>276</v>
      </c>
      <c r="D16" s="475">
        <v>4.6900000000000004</v>
      </c>
      <c r="E16" s="474">
        <f>900*340</f>
        <v>306000</v>
      </c>
      <c r="F16" s="473">
        <f>D16*E16</f>
        <v>1435140.0000000002</v>
      </c>
      <c r="G16" s="914"/>
      <c r="H16" s="563">
        <f>$F$16*H10</f>
        <v>24397380.000000004</v>
      </c>
      <c r="I16" s="564">
        <f t="shared" ref="I16:K16" si="4">$F$16*I10</f>
        <v>24397380.000000004</v>
      </c>
      <c r="J16" s="564">
        <f t="shared" si="4"/>
        <v>20091960.000000004</v>
      </c>
      <c r="K16" s="565">
        <f t="shared" si="4"/>
        <v>8610840.0000000019</v>
      </c>
      <c r="L16" s="452"/>
      <c r="M16" s="452"/>
      <c r="N16" s="452"/>
      <c r="O16" s="452"/>
      <c r="P16" s="452"/>
      <c r="Q16" s="452"/>
      <c r="R16" s="452"/>
      <c r="S16" s="452"/>
      <c r="T16" s="452"/>
      <c r="U16" s="452"/>
      <c r="V16" s="452"/>
      <c r="W16" s="452"/>
      <c r="X16" s="452"/>
      <c r="Y16" s="452"/>
      <c r="Z16" s="452"/>
      <c r="AA16" s="452"/>
      <c r="AB16" s="452"/>
      <c r="AC16" s="452"/>
      <c r="AD16" s="452"/>
      <c r="AE16" s="452"/>
      <c r="AF16" s="452"/>
      <c r="AG16" s="452"/>
      <c r="AH16" s="452"/>
      <c r="AI16" s="452"/>
      <c r="AJ16" s="452"/>
      <c r="AK16" s="452"/>
    </row>
    <row r="17" spans="1:37">
      <c r="A17" s="452"/>
      <c r="B17" s="477" t="s">
        <v>520</v>
      </c>
      <c r="C17" s="476" t="s">
        <v>276</v>
      </c>
      <c r="D17" s="548">
        <v>0.1</v>
      </c>
      <c r="E17" s="474">
        <f>900*340</f>
        <v>306000</v>
      </c>
      <c r="F17" s="473">
        <f t="shared" ref="F17:F19" si="5">D17*E17</f>
        <v>30600</v>
      </c>
      <c r="G17" s="914"/>
      <c r="H17" s="563">
        <f>$F$17*H10</f>
        <v>520200</v>
      </c>
      <c r="I17" s="564">
        <f t="shared" ref="I17:K17" si="6">$F$17*I10</f>
        <v>520200</v>
      </c>
      <c r="J17" s="564">
        <f t="shared" si="6"/>
        <v>428400</v>
      </c>
      <c r="K17" s="565">
        <f t="shared" si="6"/>
        <v>183600</v>
      </c>
      <c r="L17" s="452"/>
      <c r="M17" s="452"/>
      <c r="N17" s="452"/>
      <c r="O17" s="452"/>
      <c r="P17" s="452"/>
      <c r="Q17" s="452"/>
      <c r="R17" s="452"/>
      <c r="S17" s="452"/>
      <c r="T17" s="452"/>
      <c r="U17" s="452"/>
      <c r="V17" s="452"/>
      <c r="W17" s="452"/>
      <c r="X17" s="452"/>
      <c r="Y17" s="452"/>
      <c r="Z17" s="452"/>
      <c r="AA17" s="452"/>
      <c r="AB17" s="452"/>
      <c r="AC17" s="452"/>
      <c r="AD17" s="452"/>
      <c r="AE17" s="452"/>
      <c r="AF17" s="452"/>
      <c r="AG17" s="452"/>
      <c r="AH17" s="452"/>
      <c r="AI17" s="452"/>
      <c r="AJ17" s="452"/>
      <c r="AK17" s="452"/>
    </row>
    <row r="18" spans="1:37">
      <c r="A18" s="452"/>
      <c r="B18" s="477" t="s">
        <v>330</v>
      </c>
      <c r="C18" s="476" t="s">
        <v>276</v>
      </c>
      <c r="D18" s="475">
        <v>0.11</v>
      </c>
      <c r="E18" s="474">
        <f>900*340</f>
        <v>306000</v>
      </c>
      <c r="F18" s="473">
        <f t="shared" si="5"/>
        <v>33660</v>
      </c>
      <c r="G18" s="914"/>
      <c r="H18" s="563">
        <f>$F$18*H10</f>
        <v>572220</v>
      </c>
      <c r="I18" s="564">
        <f t="shared" ref="I18:K18" si="7">$F$18*I10</f>
        <v>572220</v>
      </c>
      <c r="J18" s="564">
        <f t="shared" si="7"/>
        <v>471240</v>
      </c>
      <c r="K18" s="565">
        <f t="shared" si="7"/>
        <v>201960</v>
      </c>
      <c r="L18" s="452"/>
      <c r="M18" s="452"/>
      <c r="N18" s="452"/>
      <c r="O18" s="452"/>
      <c r="P18" s="452"/>
      <c r="Q18" s="452"/>
      <c r="R18" s="452"/>
      <c r="S18" s="452"/>
      <c r="T18" s="452"/>
      <c r="U18" s="452"/>
      <c r="V18" s="452"/>
      <c r="W18" s="452"/>
      <c r="X18" s="452"/>
      <c r="Y18" s="452"/>
      <c r="Z18" s="452"/>
      <c r="AA18" s="452"/>
      <c r="AB18" s="452"/>
      <c r="AC18" s="452"/>
      <c r="AD18" s="452"/>
      <c r="AE18" s="452"/>
      <c r="AF18" s="452"/>
      <c r="AG18" s="452"/>
      <c r="AH18" s="452"/>
      <c r="AI18" s="452"/>
      <c r="AJ18" s="452"/>
      <c r="AK18" s="452"/>
    </row>
    <row r="19" spans="1:37">
      <c r="A19" s="452"/>
      <c r="B19" s="477" t="s">
        <v>331</v>
      </c>
      <c r="C19" s="476" t="s">
        <v>276</v>
      </c>
      <c r="D19" s="475">
        <v>0.78</v>
      </c>
      <c r="E19" s="474">
        <f>900*340</f>
        <v>306000</v>
      </c>
      <c r="F19" s="473">
        <f t="shared" si="5"/>
        <v>238680</v>
      </c>
      <c r="G19" s="914"/>
      <c r="H19" s="566">
        <f>$F$19*H10</f>
        <v>4057560</v>
      </c>
      <c r="I19" s="567">
        <f t="shared" ref="I19:K19" si="8">$F$19*I10</f>
        <v>4057560</v>
      </c>
      <c r="J19" s="567">
        <f t="shared" si="8"/>
        <v>3341520</v>
      </c>
      <c r="K19" s="568">
        <f t="shared" si="8"/>
        <v>1432080</v>
      </c>
      <c r="L19" s="452"/>
      <c r="M19" s="452"/>
      <c r="N19" s="452"/>
      <c r="O19" s="452"/>
      <c r="P19" s="452"/>
      <c r="Q19" s="452"/>
      <c r="R19" s="452"/>
      <c r="S19" s="452"/>
      <c r="T19" s="452"/>
      <c r="U19" s="452"/>
      <c r="V19" s="452"/>
      <c r="W19" s="452"/>
      <c r="X19" s="452"/>
      <c r="Y19" s="452"/>
      <c r="Z19" s="452"/>
      <c r="AA19" s="452"/>
      <c r="AB19" s="452"/>
      <c r="AC19" s="452"/>
      <c r="AD19" s="452"/>
      <c r="AE19" s="452"/>
      <c r="AF19" s="452"/>
      <c r="AG19" s="452"/>
      <c r="AH19" s="452"/>
      <c r="AI19" s="452"/>
      <c r="AJ19" s="452"/>
      <c r="AK19" s="452"/>
    </row>
    <row r="20" spans="1:37" ht="13.5" thickBot="1">
      <c r="A20" s="452"/>
      <c r="B20" s="469" t="s">
        <v>537</v>
      </c>
      <c r="C20" s="468" t="s">
        <v>276</v>
      </c>
      <c r="D20" s="467"/>
      <c r="E20" s="547"/>
      <c r="F20" s="546"/>
      <c r="G20" s="914"/>
      <c r="H20" s="464"/>
      <c r="I20" s="569"/>
      <c r="J20" s="569"/>
      <c r="K20" s="570"/>
      <c r="L20" s="452"/>
      <c r="M20" s="452"/>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row>
    <row r="21" spans="1:37" ht="13.5" thickTop="1">
      <c r="A21" s="452"/>
      <c r="B21" s="461" t="s">
        <v>518</v>
      </c>
      <c r="C21" s="460" t="s">
        <v>276</v>
      </c>
      <c r="D21" s="459">
        <v>0.18</v>
      </c>
      <c r="E21" s="458">
        <f>900*340</f>
        <v>306000</v>
      </c>
      <c r="F21" s="457">
        <f>D21*E21</f>
        <v>55080</v>
      </c>
      <c r="G21" s="914"/>
      <c r="H21" s="455">
        <f>$F$21*H10</f>
        <v>936360</v>
      </c>
      <c r="I21" s="454">
        <f t="shared" ref="I21:K21" si="9">$F$21*I10</f>
        <v>936360</v>
      </c>
      <c r="J21" s="454">
        <f t="shared" si="9"/>
        <v>771120</v>
      </c>
      <c r="K21" s="453">
        <f t="shared" si="9"/>
        <v>330480</v>
      </c>
      <c r="L21" s="452"/>
      <c r="M21" s="452"/>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row>
    <row r="22" spans="1:37" ht="13.5" thickBot="1">
      <c r="A22" s="452"/>
      <c r="B22" s="451" t="s">
        <v>517</v>
      </c>
      <c r="C22" s="515" t="s">
        <v>276</v>
      </c>
      <c r="D22" s="449"/>
      <c r="E22" s="571"/>
      <c r="F22" s="572"/>
      <c r="G22" s="915"/>
      <c r="H22" s="446"/>
      <c r="I22" s="445"/>
      <c r="J22" s="445"/>
      <c r="K22" s="444"/>
      <c r="L22" s="452"/>
      <c r="M22" s="452"/>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row>
    <row r="23" spans="1:37">
      <c r="A23" s="452"/>
      <c r="B23" s="558"/>
      <c r="C23" s="558"/>
      <c r="D23" s="558"/>
      <c r="E23" s="558"/>
      <c r="F23" s="558"/>
      <c r="G23" s="558"/>
      <c r="H23" s="508"/>
      <c r="I23" s="508"/>
      <c r="J23" s="508"/>
      <c r="K23" s="508"/>
      <c r="L23" s="452"/>
      <c r="M23" s="452"/>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row>
    <row r="24" spans="1:37" ht="13.5" thickBot="1">
      <c r="A24" s="452"/>
      <c r="B24" s="558"/>
      <c r="C24" s="558"/>
      <c r="D24" s="558"/>
      <c r="E24" s="558"/>
      <c r="F24" s="558"/>
      <c r="G24" s="558"/>
      <c r="H24" s="452"/>
      <c r="I24" s="554"/>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row>
    <row r="25" spans="1:37" ht="12.95" customHeight="1">
      <c r="A25" s="452"/>
      <c r="B25" s="892" t="s">
        <v>536</v>
      </c>
      <c r="C25" s="507" t="s">
        <v>535</v>
      </c>
      <c r="D25" s="897" t="s">
        <v>531</v>
      </c>
      <c r="E25" s="897" t="s">
        <v>530</v>
      </c>
      <c r="F25" s="916" t="s">
        <v>529</v>
      </c>
      <c r="G25" s="506" t="s">
        <v>528</v>
      </c>
      <c r="H25" s="505">
        <v>2023</v>
      </c>
      <c r="I25" s="504">
        <f>H25+1</f>
        <v>2024</v>
      </c>
      <c r="J25" s="504">
        <f>I25+1</f>
        <v>2025</v>
      </c>
      <c r="K25" s="504">
        <f t="shared" ref="K25:L25" si="10">J25+1</f>
        <v>2026</v>
      </c>
      <c r="L25" s="504">
        <f t="shared" si="10"/>
        <v>2027</v>
      </c>
      <c r="M25" s="452"/>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row>
    <row r="26" spans="1:37" ht="12.6" customHeight="1">
      <c r="A26" s="452"/>
      <c r="B26" s="893"/>
      <c r="C26" s="503" t="s">
        <v>534</v>
      </c>
      <c r="D26" s="898"/>
      <c r="E26" s="898"/>
      <c r="F26" s="917"/>
      <c r="G26" s="502" t="s">
        <v>526</v>
      </c>
      <c r="H26" s="541">
        <v>10</v>
      </c>
      <c r="I26" s="541">
        <v>10</v>
      </c>
      <c r="J26" s="541">
        <v>10</v>
      </c>
      <c r="K26" s="541">
        <v>10</v>
      </c>
      <c r="L26" s="501">
        <v>5</v>
      </c>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row>
    <row r="27" spans="1:37" ht="13.5" thickBot="1">
      <c r="A27" s="452"/>
      <c r="B27" s="500" t="s">
        <v>525</v>
      </c>
      <c r="C27" s="499">
        <f>350*1000</f>
        <v>350000</v>
      </c>
      <c r="D27" s="899"/>
      <c r="E27" s="899"/>
      <c r="F27" s="918"/>
      <c r="G27" s="498" t="s">
        <v>524</v>
      </c>
      <c r="H27" s="540">
        <v>10</v>
      </c>
      <c r="I27" s="540">
        <v>10</v>
      </c>
      <c r="J27" s="540">
        <v>10</v>
      </c>
      <c r="K27" s="540">
        <v>10</v>
      </c>
      <c r="L27" s="497">
        <v>5</v>
      </c>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row>
    <row r="28" spans="1:37">
      <c r="A28" s="452"/>
      <c r="B28" s="496" t="s">
        <v>523</v>
      </c>
      <c r="C28" s="495" t="s">
        <v>276</v>
      </c>
      <c r="D28" s="539"/>
      <c r="E28" s="539"/>
      <c r="F28" s="538"/>
      <c r="G28" s="902"/>
      <c r="H28" s="573"/>
      <c r="I28" s="574"/>
      <c r="J28" s="574"/>
      <c r="K28" s="574"/>
      <c r="L28" s="575"/>
      <c r="M28" s="452"/>
      <c r="N28" s="452"/>
      <c r="O28" s="452"/>
      <c r="P28" s="452"/>
      <c r="Q28" s="452"/>
      <c r="R28" s="452"/>
      <c r="S28" s="452"/>
      <c r="T28" s="452"/>
      <c r="U28" s="452"/>
      <c r="V28" s="452"/>
      <c r="W28" s="452"/>
      <c r="X28" s="452"/>
      <c r="Y28" s="452"/>
      <c r="Z28" s="452"/>
      <c r="AA28" s="452"/>
      <c r="AB28" s="452"/>
      <c r="AC28" s="452"/>
      <c r="AD28" s="452"/>
      <c r="AE28" s="452"/>
      <c r="AF28" s="452"/>
      <c r="AG28" s="452"/>
      <c r="AH28" s="452"/>
      <c r="AI28" s="452"/>
      <c r="AJ28" s="452"/>
      <c r="AK28" s="452"/>
    </row>
    <row r="29" spans="1:37">
      <c r="A29" s="452"/>
      <c r="B29" s="477" t="s">
        <v>522</v>
      </c>
      <c r="C29" s="460" t="s">
        <v>276</v>
      </c>
      <c r="D29" s="534"/>
      <c r="E29" s="534"/>
      <c r="F29" s="533"/>
      <c r="G29" s="902"/>
      <c r="H29" s="532"/>
      <c r="I29" s="531"/>
      <c r="J29" s="531"/>
      <c r="K29" s="531"/>
      <c r="L29" s="530"/>
      <c r="M29" s="452"/>
      <c r="N29" s="452"/>
      <c r="O29" s="452"/>
      <c r="P29" s="452"/>
      <c r="Q29" s="452"/>
      <c r="R29" s="452"/>
      <c r="S29" s="452"/>
      <c r="T29" s="452"/>
      <c r="U29" s="452"/>
      <c r="V29" s="452"/>
      <c r="W29" s="452"/>
      <c r="X29" s="452"/>
      <c r="Y29" s="452"/>
      <c r="Z29" s="452"/>
      <c r="AA29" s="452"/>
      <c r="AB29" s="452"/>
      <c r="AC29" s="452"/>
      <c r="AD29" s="452"/>
      <c r="AE29" s="452"/>
      <c r="AF29" s="452"/>
      <c r="AG29" s="452"/>
      <c r="AH29" s="452"/>
      <c r="AI29" s="452"/>
      <c r="AJ29" s="452"/>
      <c r="AK29" s="452"/>
    </row>
    <row r="30" spans="1:37">
      <c r="A30" s="452"/>
      <c r="B30" s="461" t="s">
        <v>521</v>
      </c>
      <c r="C30" s="476" t="s">
        <v>276</v>
      </c>
      <c r="D30" s="459">
        <v>0.04</v>
      </c>
      <c r="E30" s="458">
        <v>350000</v>
      </c>
      <c r="F30" s="457">
        <f>D30*E30</f>
        <v>14000</v>
      </c>
      <c r="G30" s="902"/>
      <c r="H30" s="563">
        <f>$F$30*H26</f>
        <v>140000</v>
      </c>
      <c r="I30" s="576">
        <f t="shared" ref="I30:L30" si="11">$F$30*I26</f>
        <v>140000</v>
      </c>
      <c r="J30" s="576">
        <f t="shared" si="11"/>
        <v>140000</v>
      </c>
      <c r="K30" s="576">
        <f t="shared" si="11"/>
        <v>140000</v>
      </c>
      <c r="L30" s="577">
        <f t="shared" si="11"/>
        <v>70000</v>
      </c>
      <c r="M30" s="452"/>
      <c r="N30" s="452"/>
      <c r="O30" s="452"/>
      <c r="P30" s="452"/>
      <c r="Q30" s="452"/>
      <c r="R30" s="452"/>
      <c r="S30" s="452"/>
      <c r="T30" s="452"/>
      <c r="U30" s="452"/>
      <c r="V30" s="452"/>
      <c r="W30" s="452"/>
      <c r="X30" s="452"/>
      <c r="Y30" s="452"/>
      <c r="Z30" s="452"/>
      <c r="AA30" s="452"/>
      <c r="AB30" s="452"/>
      <c r="AC30" s="452"/>
      <c r="AD30" s="452"/>
      <c r="AE30" s="452"/>
      <c r="AF30" s="452"/>
      <c r="AG30" s="452"/>
      <c r="AH30" s="452"/>
      <c r="AI30" s="452"/>
      <c r="AJ30" s="452"/>
      <c r="AK30" s="452"/>
    </row>
    <row r="31" spans="1:37">
      <c r="A31" s="452"/>
      <c r="B31" s="477" t="s">
        <v>284</v>
      </c>
      <c r="C31" s="476" t="s">
        <v>276</v>
      </c>
      <c r="D31" s="484"/>
      <c r="E31" s="529"/>
      <c r="F31" s="528"/>
      <c r="G31" s="902"/>
      <c r="H31" s="532"/>
      <c r="I31" s="531"/>
      <c r="J31" s="531"/>
      <c r="K31" s="531"/>
      <c r="L31" s="530"/>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row>
    <row r="32" spans="1:37">
      <c r="A32" s="452"/>
      <c r="B32" s="477" t="s">
        <v>287</v>
      </c>
      <c r="C32" s="476" t="s">
        <v>276</v>
      </c>
      <c r="D32" s="475">
        <v>4.6900000000000004</v>
      </c>
      <c r="E32" s="474">
        <v>350000</v>
      </c>
      <c r="F32" s="473">
        <f>D32*E32</f>
        <v>1641500.0000000002</v>
      </c>
      <c r="G32" s="902"/>
      <c r="H32" s="563">
        <f>$F$32*H26</f>
        <v>16415000.000000002</v>
      </c>
      <c r="I32" s="576">
        <f t="shared" ref="I32:L32" si="12">$F$32*I26</f>
        <v>16415000.000000002</v>
      </c>
      <c r="J32" s="576">
        <f t="shared" si="12"/>
        <v>16415000.000000002</v>
      </c>
      <c r="K32" s="576">
        <f t="shared" si="12"/>
        <v>16415000.000000002</v>
      </c>
      <c r="L32" s="577">
        <f t="shared" si="12"/>
        <v>8207500.0000000009</v>
      </c>
      <c r="M32" s="452"/>
      <c r="N32" s="452"/>
      <c r="O32" s="452"/>
      <c r="P32" s="452"/>
      <c r="Q32" s="452"/>
      <c r="R32" s="452"/>
      <c r="S32" s="452"/>
      <c r="T32" s="452"/>
      <c r="U32" s="452"/>
      <c r="V32" s="452"/>
      <c r="W32" s="452"/>
      <c r="X32" s="452"/>
      <c r="Y32" s="452"/>
      <c r="Z32" s="452"/>
      <c r="AA32" s="452"/>
      <c r="AB32" s="452"/>
      <c r="AC32" s="452"/>
      <c r="AD32" s="452"/>
      <c r="AE32" s="452"/>
      <c r="AF32" s="452"/>
      <c r="AG32" s="452"/>
      <c r="AH32" s="452"/>
      <c r="AI32" s="452"/>
      <c r="AJ32" s="452"/>
      <c r="AK32" s="452"/>
    </row>
    <row r="33" spans="1:60">
      <c r="A33" s="452"/>
      <c r="B33" s="477" t="s">
        <v>520</v>
      </c>
      <c r="C33" s="476" t="s">
        <v>276</v>
      </c>
      <c r="D33" s="484"/>
      <c r="E33" s="529"/>
      <c r="F33" s="528"/>
      <c r="G33" s="902"/>
      <c r="H33" s="578"/>
      <c r="I33" s="579"/>
      <c r="J33" s="579"/>
      <c r="K33" s="579"/>
      <c r="L33" s="580"/>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row>
    <row r="34" spans="1:60">
      <c r="A34" s="452"/>
      <c r="B34" s="477" t="s">
        <v>330</v>
      </c>
      <c r="C34" s="476" t="s">
        <v>276</v>
      </c>
      <c r="D34" s="475">
        <v>0.11</v>
      </c>
      <c r="E34" s="474">
        <v>350000</v>
      </c>
      <c r="F34" s="473">
        <f t="shared" ref="F34:F35" si="13">D34*E34</f>
        <v>38500</v>
      </c>
      <c r="G34" s="902"/>
      <c r="H34" s="563">
        <f>$F$34*H26</f>
        <v>385000</v>
      </c>
      <c r="I34" s="576">
        <f t="shared" ref="I34:L34" si="14">$F$34*I26</f>
        <v>385000</v>
      </c>
      <c r="J34" s="576">
        <f t="shared" si="14"/>
        <v>385000</v>
      </c>
      <c r="K34" s="576">
        <f t="shared" si="14"/>
        <v>385000</v>
      </c>
      <c r="L34" s="577">
        <f t="shared" si="14"/>
        <v>192500</v>
      </c>
      <c r="M34" s="452"/>
      <c r="N34" s="452"/>
      <c r="O34" s="452"/>
      <c r="P34" s="452"/>
      <c r="Q34" s="452"/>
      <c r="R34" s="452"/>
      <c r="S34" s="452"/>
      <c r="T34" s="452"/>
      <c r="U34" s="452"/>
      <c r="V34" s="452"/>
      <c r="W34" s="452"/>
      <c r="X34" s="452"/>
      <c r="Y34" s="452"/>
      <c r="Z34" s="452"/>
      <c r="AA34" s="452"/>
      <c r="AB34" s="452"/>
      <c r="AC34" s="452"/>
      <c r="AD34" s="452"/>
      <c r="AE34" s="452"/>
      <c r="AF34" s="452"/>
      <c r="AG34" s="452"/>
      <c r="AH34" s="452"/>
      <c r="AI34" s="452"/>
      <c r="AJ34" s="452"/>
      <c r="AK34" s="452"/>
    </row>
    <row r="35" spans="1:60" ht="13.5" thickBot="1">
      <c r="A35" s="452"/>
      <c r="B35" s="477" t="s">
        <v>331</v>
      </c>
      <c r="C35" s="460" t="s">
        <v>276</v>
      </c>
      <c r="D35" s="581">
        <v>0.78</v>
      </c>
      <c r="E35" s="582">
        <v>350000</v>
      </c>
      <c r="F35" s="583">
        <f t="shared" si="13"/>
        <v>273000</v>
      </c>
      <c r="G35" s="902"/>
      <c r="H35" s="566">
        <f>$F$35*H26</f>
        <v>2730000</v>
      </c>
      <c r="I35" s="584">
        <f t="shared" ref="I35:L35" si="15">$F$35*I26</f>
        <v>2730000</v>
      </c>
      <c r="J35" s="584">
        <f t="shared" si="15"/>
        <v>2730000</v>
      </c>
      <c r="K35" s="584">
        <f t="shared" si="15"/>
        <v>2730000</v>
      </c>
      <c r="L35" s="585">
        <f t="shared" si="15"/>
        <v>1365000</v>
      </c>
      <c r="M35" s="452"/>
      <c r="N35" s="452"/>
      <c r="O35" s="452"/>
      <c r="P35" s="452"/>
      <c r="Q35" s="452"/>
      <c r="R35" s="452"/>
      <c r="S35" s="452"/>
      <c r="T35" s="452"/>
      <c r="U35" s="452"/>
      <c r="V35" s="452"/>
      <c r="W35" s="452"/>
      <c r="X35" s="452"/>
      <c r="Y35" s="452"/>
      <c r="Z35" s="452"/>
      <c r="AA35" s="452"/>
      <c r="AB35" s="452"/>
      <c r="AC35" s="452"/>
      <c r="AD35" s="452"/>
      <c r="AE35" s="452"/>
      <c r="AF35" s="452"/>
      <c r="AG35" s="452"/>
      <c r="AH35" s="452"/>
      <c r="AI35" s="452"/>
      <c r="AJ35" s="452"/>
      <c r="AK35" s="452"/>
    </row>
    <row r="36" spans="1:60" ht="13.5" thickBot="1">
      <c r="A36" s="452"/>
      <c r="B36" s="586" t="s">
        <v>519</v>
      </c>
      <c r="C36" s="587" t="s">
        <v>276</v>
      </c>
      <c r="D36" s="527">
        <v>2</v>
      </c>
      <c r="E36" s="526">
        <v>350000</v>
      </c>
      <c r="F36" s="525">
        <f>D36*E36</f>
        <v>700000</v>
      </c>
      <c r="G36" s="902"/>
      <c r="H36" s="524">
        <f>$F$36*H26</f>
        <v>7000000</v>
      </c>
      <c r="I36" s="588">
        <f t="shared" ref="I36:L36" si="16">$F$36*I26</f>
        <v>7000000</v>
      </c>
      <c r="J36" s="588">
        <f t="shared" si="16"/>
        <v>7000000</v>
      </c>
      <c r="K36" s="588">
        <f t="shared" si="16"/>
        <v>7000000</v>
      </c>
      <c r="L36" s="589">
        <f t="shared" si="16"/>
        <v>3500000</v>
      </c>
      <c r="M36" s="452"/>
      <c r="N36" s="452"/>
      <c r="O36" s="452"/>
      <c r="P36" s="452"/>
      <c r="Q36" s="452"/>
      <c r="R36" s="452"/>
      <c r="S36" s="452"/>
      <c r="T36" s="452"/>
      <c r="U36" s="452"/>
      <c r="V36" s="452"/>
      <c r="W36" s="452"/>
      <c r="X36" s="452"/>
      <c r="Y36" s="452"/>
      <c r="Z36" s="452"/>
      <c r="AA36" s="452"/>
      <c r="AB36" s="452"/>
      <c r="AC36" s="452"/>
      <c r="AD36" s="452"/>
      <c r="AE36" s="452"/>
      <c r="AF36" s="452"/>
      <c r="AG36" s="452"/>
      <c r="AH36" s="452"/>
      <c r="AI36" s="452"/>
      <c r="AJ36" s="452"/>
      <c r="AK36" s="452"/>
    </row>
    <row r="37" spans="1:60" ht="13.5" thickTop="1">
      <c r="A37" s="452"/>
      <c r="B37" s="461" t="s">
        <v>518</v>
      </c>
      <c r="C37" s="590" t="s">
        <v>276</v>
      </c>
      <c r="D37" s="521"/>
      <c r="E37" s="521"/>
      <c r="F37" s="517"/>
      <c r="G37" s="902"/>
      <c r="H37" s="519"/>
      <c r="I37" s="518"/>
      <c r="J37" s="518"/>
      <c r="K37" s="518"/>
      <c r="L37" s="517"/>
      <c r="M37" s="452"/>
      <c r="N37" s="452"/>
      <c r="O37" s="452"/>
      <c r="P37" s="452"/>
      <c r="Q37" s="452"/>
      <c r="R37" s="452"/>
      <c r="S37" s="452"/>
      <c r="T37" s="452"/>
      <c r="U37" s="452"/>
      <c r="V37" s="452"/>
      <c r="W37" s="452"/>
      <c r="X37" s="452"/>
      <c r="Y37" s="452"/>
      <c r="Z37" s="452"/>
      <c r="AA37" s="452"/>
      <c r="AB37" s="452"/>
      <c r="AC37" s="452"/>
      <c r="AD37" s="452"/>
      <c r="AE37" s="452"/>
      <c r="AF37" s="452"/>
      <c r="AG37" s="452"/>
      <c r="AH37" s="452"/>
      <c r="AI37" s="452"/>
      <c r="AJ37" s="452"/>
      <c r="AK37" s="452"/>
    </row>
    <row r="38" spans="1:60" ht="13.5" thickBot="1">
      <c r="A38" s="452"/>
      <c r="B38" s="451" t="s">
        <v>517</v>
      </c>
      <c r="C38" s="515" t="s">
        <v>276</v>
      </c>
      <c r="D38" s="591">
        <v>40000</v>
      </c>
      <c r="E38" s="582">
        <v>1</v>
      </c>
      <c r="F38" s="583">
        <f>D38*E38</f>
        <v>40000</v>
      </c>
      <c r="G38" s="903"/>
      <c r="H38" s="511">
        <f>$F$38*H26</f>
        <v>400000</v>
      </c>
      <c r="I38" s="510">
        <f t="shared" ref="I38:L38" si="17">$F$38*I26</f>
        <v>400000</v>
      </c>
      <c r="J38" s="510">
        <f t="shared" si="17"/>
        <v>400000</v>
      </c>
      <c r="K38" s="510">
        <f t="shared" si="17"/>
        <v>400000</v>
      </c>
      <c r="L38" s="509">
        <f t="shared" si="17"/>
        <v>200000</v>
      </c>
      <c r="M38" s="452"/>
      <c r="N38" s="452"/>
      <c r="O38" s="452"/>
      <c r="P38" s="452"/>
      <c r="Q38" s="452"/>
      <c r="R38" s="452"/>
      <c r="S38" s="452"/>
      <c r="T38" s="452"/>
      <c r="U38" s="452"/>
      <c r="V38" s="452"/>
      <c r="W38" s="452"/>
      <c r="X38" s="452"/>
      <c r="Y38" s="452"/>
      <c r="Z38" s="452"/>
      <c r="AA38" s="452"/>
      <c r="AB38" s="452"/>
      <c r="AC38" s="452"/>
      <c r="AD38" s="452"/>
      <c r="AE38" s="452"/>
      <c r="AF38" s="452"/>
      <c r="AG38" s="452"/>
      <c r="AH38" s="452"/>
      <c r="AI38" s="452"/>
      <c r="AJ38" s="452"/>
      <c r="AK38" s="452"/>
    </row>
    <row r="39" spans="1:60">
      <c r="A39" s="452"/>
      <c r="B39" s="558"/>
      <c r="C39" s="558"/>
      <c r="D39" s="558"/>
      <c r="E39" s="558"/>
      <c r="F39" s="558"/>
      <c r="G39" s="558"/>
      <c r="H39" s="508"/>
      <c r="I39" s="508"/>
      <c r="J39" s="508"/>
      <c r="K39" s="508"/>
      <c r="L39" s="508"/>
      <c r="M39" s="452"/>
      <c r="N39" s="452"/>
      <c r="O39" s="452"/>
      <c r="P39" s="452"/>
      <c r="Q39" s="452"/>
      <c r="R39" s="452"/>
      <c r="S39" s="452"/>
      <c r="T39" s="452"/>
      <c r="U39" s="452"/>
      <c r="V39" s="452"/>
      <c r="W39" s="452"/>
      <c r="X39" s="452"/>
      <c r="Y39" s="452"/>
      <c r="Z39" s="452"/>
      <c r="AA39" s="452"/>
      <c r="AB39" s="452"/>
      <c r="AC39" s="452"/>
      <c r="AD39" s="452"/>
      <c r="AE39" s="452"/>
      <c r="AF39" s="452"/>
      <c r="AG39" s="452"/>
      <c r="AH39" s="452"/>
      <c r="AI39" s="452"/>
      <c r="AJ39" s="452"/>
      <c r="AK39" s="452"/>
    </row>
    <row r="40" spans="1:60" ht="13.5" thickBot="1">
      <c r="A40" s="452"/>
      <c r="B40" s="452"/>
      <c r="C40" s="452"/>
      <c r="D40" s="452"/>
      <c r="E40" s="452"/>
      <c r="F40" s="452"/>
      <c r="G40" s="452"/>
      <c r="H40" s="508"/>
      <c r="I40" s="452"/>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row>
    <row r="41" spans="1:60">
      <c r="A41" s="452"/>
      <c r="B41" s="892" t="s">
        <v>724</v>
      </c>
      <c r="C41" s="507" t="s">
        <v>535</v>
      </c>
      <c r="D41" s="897" t="s">
        <v>531</v>
      </c>
      <c r="E41" s="897" t="s">
        <v>530</v>
      </c>
      <c r="F41" s="916" t="s">
        <v>529</v>
      </c>
      <c r="G41" s="506" t="s">
        <v>528</v>
      </c>
      <c r="H41" s="505">
        <v>2023</v>
      </c>
      <c r="I41" s="504">
        <f>H41+1</f>
        <v>2024</v>
      </c>
      <c r="J41" s="504">
        <f>I41+1</f>
        <v>2025</v>
      </c>
      <c r="K41" s="504">
        <f t="shared" ref="K41:AI41" si="18">J41+1</f>
        <v>2026</v>
      </c>
      <c r="L41" s="504">
        <f t="shared" si="18"/>
        <v>2027</v>
      </c>
      <c r="M41" s="504">
        <f t="shared" si="18"/>
        <v>2028</v>
      </c>
      <c r="N41" s="504">
        <f t="shared" si="18"/>
        <v>2029</v>
      </c>
      <c r="O41" s="504">
        <f t="shared" si="18"/>
        <v>2030</v>
      </c>
      <c r="P41" s="504">
        <f t="shared" si="18"/>
        <v>2031</v>
      </c>
      <c r="Q41" s="504">
        <f t="shared" si="18"/>
        <v>2032</v>
      </c>
      <c r="R41" s="504">
        <f t="shared" si="18"/>
        <v>2033</v>
      </c>
      <c r="S41" s="504">
        <f t="shared" si="18"/>
        <v>2034</v>
      </c>
      <c r="T41" s="504">
        <f t="shared" si="18"/>
        <v>2035</v>
      </c>
      <c r="U41" s="504">
        <f t="shared" si="18"/>
        <v>2036</v>
      </c>
      <c r="V41" s="504">
        <f t="shared" si="18"/>
        <v>2037</v>
      </c>
      <c r="W41" s="504">
        <f t="shared" si="18"/>
        <v>2038</v>
      </c>
      <c r="X41" s="504">
        <f t="shared" si="18"/>
        <v>2039</v>
      </c>
      <c r="Y41" s="504">
        <f t="shared" si="18"/>
        <v>2040</v>
      </c>
      <c r="Z41" s="504">
        <f t="shared" si="18"/>
        <v>2041</v>
      </c>
      <c r="AA41" s="504">
        <f t="shared" si="18"/>
        <v>2042</v>
      </c>
      <c r="AB41" s="504">
        <f t="shared" si="18"/>
        <v>2043</v>
      </c>
      <c r="AC41" s="504">
        <f t="shared" si="18"/>
        <v>2044</v>
      </c>
      <c r="AD41" s="504">
        <f t="shared" si="18"/>
        <v>2045</v>
      </c>
      <c r="AE41" s="504">
        <f t="shared" si="18"/>
        <v>2046</v>
      </c>
      <c r="AF41" s="504">
        <f t="shared" si="18"/>
        <v>2047</v>
      </c>
      <c r="AG41" s="504">
        <f t="shared" si="18"/>
        <v>2048</v>
      </c>
      <c r="AH41" s="504">
        <f t="shared" si="18"/>
        <v>2049</v>
      </c>
      <c r="AI41" s="504">
        <f t="shared" si="18"/>
        <v>2050</v>
      </c>
      <c r="AJ41" s="504">
        <f>AI41+1</f>
        <v>2051</v>
      </c>
      <c r="AK41" s="504">
        <f>AJ41+1</f>
        <v>2052</v>
      </c>
    </row>
    <row r="42" spans="1:60" ht="12.95" customHeight="1">
      <c r="A42" s="452"/>
      <c r="B42" s="893"/>
      <c r="C42" s="503" t="s">
        <v>534</v>
      </c>
      <c r="D42" s="898"/>
      <c r="E42" s="898"/>
      <c r="F42" s="917"/>
      <c r="G42" s="502" t="s">
        <v>526</v>
      </c>
      <c r="H42" s="541"/>
      <c r="I42" s="501"/>
      <c r="J42" s="501">
        <v>2</v>
      </c>
      <c r="K42" s="501">
        <v>10</v>
      </c>
      <c r="L42" s="501">
        <v>20</v>
      </c>
      <c r="M42" s="501">
        <v>25</v>
      </c>
      <c r="N42" s="501">
        <v>25</v>
      </c>
      <c r="O42" s="501">
        <v>25</v>
      </c>
      <c r="P42" s="501">
        <v>25</v>
      </c>
      <c r="Q42" s="501">
        <v>25</v>
      </c>
      <c r="R42" s="501">
        <v>25</v>
      </c>
      <c r="S42" s="501">
        <v>25</v>
      </c>
      <c r="T42" s="501">
        <v>25</v>
      </c>
      <c r="U42" s="501">
        <v>25</v>
      </c>
      <c r="V42" s="501">
        <v>25</v>
      </c>
      <c r="W42" s="501">
        <v>25</v>
      </c>
      <c r="X42" s="501">
        <v>25</v>
      </c>
      <c r="Y42" s="501">
        <v>25</v>
      </c>
      <c r="Z42" s="501">
        <v>25</v>
      </c>
      <c r="AA42" s="501">
        <v>25</v>
      </c>
      <c r="AB42" s="501">
        <v>25</v>
      </c>
      <c r="AC42" s="501">
        <v>25</v>
      </c>
      <c r="AD42" s="501">
        <v>25</v>
      </c>
      <c r="AE42" s="501">
        <v>25</v>
      </c>
      <c r="AF42" s="501">
        <v>25</v>
      </c>
      <c r="AG42" s="501">
        <v>25</v>
      </c>
      <c r="AH42" s="501">
        <v>25</v>
      </c>
      <c r="AI42" s="501">
        <v>25</v>
      </c>
      <c r="AJ42" s="501">
        <v>25</v>
      </c>
      <c r="AK42" s="501">
        <v>25</v>
      </c>
    </row>
    <row r="43" spans="1:60" ht="12.95" customHeight="1" thickBot="1">
      <c r="A43" s="452"/>
      <c r="B43" s="500" t="s">
        <v>525</v>
      </c>
      <c r="C43" s="499">
        <f>350*1000</f>
        <v>350000</v>
      </c>
      <c r="D43" s="899"/>
      <c r="E43" s="899"/>
      <c r="F43" s="918"/>
      <c r="G43" s="498" t="s">
        <v>524</v>
      </c>
      <c r="H43" s="540"/>
      <c r="I43" s="497"/>
      <c r="J43" s="497">
        <v>2</v>
      </c>
      <c r="K43" s="497">
        <v>10</v>
      </c>
      <c r="L43" s="497">
        <v>20</v>
      </c>
      <c r="M43" s="497">
        <v>23</v>
      </c>
      <c r="N43" s="497">
        <v>23</v>
      </c>
      <c r="O43" s="497">
        <v>23</v>
      </c>
      <c r="P43" s="497">
        <v>23</v>
      </c>
      <c r="Q43" s="497">
        <v>23</v>
      </c>
      <c r="R43" s="497">
        <v>23</v>
      </c>
      <c r="S43" s="497">
        <v>23</v>
      </c>
      <c r="T43" s="497">
        <v>23</v>
      </c>
      <c r="U43" s="497">
        <v>23</v>
      </c>
      <c r="V43" s="497">
        <v>23</v>
      </c>
      <c r="W43" s="497">
        <v>23</v>
      </c>
      <c r="X43" s="497">
        <v>23</v>
      </c>
      <c r="Y43" s="497">
        <v>23</v>
      </c>
      <c r="Z43" s="497">
        <v>23</v>
      </c>
      <c r="AA43" s="497">
        <v>23</v>
      </c>
      <c r="AB43" s="497">
        <v>23</v>
      </c>
      <c r="AC43" s="497">
        <v>23</v>
      </c>
      <c r="AD43" s="497">
        <v>23</v>
      </c>
      <c r="AE43" s="497">
        <v>23</v>
      </c>
      <c r="AF43" s="497">
        <v>23</v>
      </c>
      <c r="AG43" s="497">
        <v>23</v>
      </c>
      <c r="AH43" s="497">
        <v>23</v>
      </c>
      <c r="AI43" s="497">
        <v>23</v>
      </c>
      <c r="AJ43" s="497">
        <v>23</v>
      </c>
      <c r="AK43" s="497">
        <v>23</v>
      </c>
    </row>
    <row r="44" spans="1:60" ht="12.6" customHeight="1">
      <c r="A44" s="485"/>
      <c r="B44" s="496" t="s">
        <v>523</v>
      </c>
      <c r="C44" s="495" t="s">
        <v>276</v>
      </c>
      <c r="D44" s="539"/>
      <c r="E44" s="539"/>
      <c r="F44" s="538"/>
      <c r="G44" s="902"/>
      <c r="H44" s="573"/>
      <c r="I44" s="574"/>
      <c r="J44" s="574"/>
      <c r="K44" s="574"/>
      <c r="L44" s="574"/>
      <c r="M44" s="574"/>
      <c r="N44" s="574"/>
      <c r="O44" s="574"/>
      <c r="P44" s="574"/>
      <c r="Q44" s="574"/>
      <c r="R44" s="574"/>
      <c r="S44" s="574"/>
      <c r="T44" s="574"/>
      <c r="U44" s="574"/>
      <c r="V44" s="574"/>
      <c r="W44" s="574"/>
      <c r="X44" s="574"/>
      <c r="Y44" s="574"/>
      <c r="Z44" s="574"/>
      <c r="AA44" s="574"/>
      <c r="AB44" s="574"/>
      <c r="AC44" s="574"/>
      <c r="AD44" s="574"/>
      <c r="AE44" s="574"/>
      <c r="AF44" s="574"/>
      <c r="AG44" s="574"/>
      <c r="AH44" s="574"/>
      <c r="AI44" s="574"/>
      <c r="AJ44" s="574"/>
      <c r="AK44" s="575"/>
    </row>
    <row r="45" spans="1:60">
      <c r="A45" s="452"/>
      <c r="B45" s="477" t="s">
        <v>522</v>
      </c>
      <c r="C45" s="476" t="s">
        <v>276</v>
      </c>
      <c r="D45" s="592">
        <v>0.7</v>
      </c>
      <c r="E45" s="474">
        <f>C43</f>
        <v>350000</v>
      </c>
      <c r="F45" s="593">
        <f>D45*E45</f>
        <v>244999.99999999997</v>
      </c>
      <c r="G45" s="902"/>
      <c r="H45" s="594">
        <f t="shared" ref="H45:I45" si="19">$F$45*H42</f>
        <v>0</v>
      </c>
      <c r="I45" s="595">
        <f t="shared" si="19"/>
        <v>0</v>
      </c>
      <c r="J45" s="595">
        <f>$F$45*J42</f>
        <v>489999.99999999994</v>
      </c>
      <c r="K45" s="595">
        <f t="shared" ref="K45:AK45" si="20">$F$45*K42</f>
        <v>2449999.9999999995</v>
      </c>
      <c r="L45" s="595">
        <f t="shared" si="20"/>
        <v>4899999.9999999991</v>
      </c>
      <c r="M45" s="595">
        <f t="shared" si="20"/>
        <v>6124999.9999999991</v>
      </c>
      <c r="N45" s="595">
        <f t="shared" si="20"/>
        <v>6124999.9999999991</v>
      </c>
      <c r="O45" s="595">
        <f t="shared" si="20"/>
        <v>6124999.9999999991</v>
      </c>
      <c r="P45" s="595">
        <f t="shared" si="20"/>
        <v>6124999.9999999991</v>
      </c>
      <c r="Q45" s="595">
        <f t="shared" si="20"/>
        <v>6124999.9999999991</v>
      </c>
      <c r="R45" s="595">
        <f t="shared" si="20"/>
        <v>6124999.9999999991</v>
      </c>
      <c r="S45" s="595">
        <f t="shared" si="20"/>
        <v>6124999.9999999991</v>
      </c>
      <c r="T45" s="595">
        <f t="shared" si="20"/>
        <v>6124999.9999999991</v>
      </c>
      <c r="U45" s="595">
        <f t="shared" si="20"/>
        <v>6124999.9999999991</v>
      </c>
      <c r="V45" s="595">
        <f t="shared" si="20"/>
        <v>6124999.9999999991</v>
      </c>
      <c r="W45" s="595">
        <f t="shared" si="20"/>
        <v>6124999.9999999991</v>
      </c>
      <c r="X45" s="595">
        <f t="shared" si="20"/>
        <v>6124999.9999999991</v>
      </c>
      <c r="Y45" s="595">
        <f t="shared" si="20"/>
        <v>6124999.9999999991</v>
      </c>
      <c r="Z45" s="595">
        <f t="shared" si="20"/>
        <v>6124999.9999999991</v>
      </c>
      <c r="AA45" s="595">
        <f t="shared" si="20"/>
        <v>6124999.9999999991</v>
      </c>
      <c r="AB45" s="595">
        <f t="shared" si="20"/>
        <v>6124999.9999999991</v>
      </c>
      <c r="AC45" s="595">
        <f t="shared" si="20"/>
        <v>6124999.9999999991</v>
      </c>
      <c r="AD45" s="595">
        <f t="shared" si="20"/>
        <v>6124999.9999999991</v>
      </c>
      <c r="AE45" s="595">
        <f t="shared" si="20"/>
        <v>6124999.9999999991</v>
      </c>
      <c r="AF45" s="595">
        <f t="shared" si="20"/>
        <v>6124999.9999999991</v>
      </c>
      <c r="AG45" s="595">
        <f t="shared" si="20"/>
        <v>6124999.9999999991</v>
      </c>
      <c r="AH45" s="595">
        <f t="shared" si="20"/>
        <v>6124999.9999999991</v>
      </c>
      <c r="AI45" s="595">
        <f t="shared" si="20"/>
        <v>6124999.9999999991</v>
      </c>
      <c r="AJ45" s="595">
        <f t="shared" si="20"/>
        <v>6124999.9999999991</v>
      </c>
      <c r="AK45" s="596">
        <f t="shared" si="20"/>
        <v>6124999.9999999991</v>
      </c>
      <c r="AL45" s="429"/>
      <c r="AM45" s="429"/>
      <c r="AN45" s="429"/>
      <c r="BC45" s="429"/>
      <c r="BD45" s="429"/>
      <c r="BE45" s="429"/>
      <c r="BF45" s="429"/>
      <c r="BG45" s="429"/>
      <c r="BH45" s="429"/>
    </row>
    <row r="46" spans="1:60">
      <c r="A46" s="452"/>
      <c r="B46" s="477" t="s">
        <v>521</v>
      </c>
      <c r="C46" s="476" t="s">
        <v>276</v>
      </c>
      <c r="D46" s="475">
        <v>0.04</v>
      </c>
      <c r="E46" s="474">
        <f>C43</f>
        <v>350000</v>
      </c>
      <c r="F46" s="473">
        <f>D46*E46</f>
        <v>14000</v>
      </c>
      <c r="G46" s="902"/>
      <c r="H46" s="472">
        <f>$F$46*H42</f>
        <v>0</v>
      </c>
      <c r="I46" s="471">
        <f t="shared" ref="I46:AK46" si="21">$F$46*I42</f>
        <v>0</v>
      </c>
      <c r="J46" s="471">
        <f t="shared" si="21"/>
        <v>28000</v>
      </c>
      <c r="K46" s="471">
        <f t="shared" si="21"/>
        <v>140000</v>
      </c>
      <c r="L46" s="471">
        <f t="shared" si="21"/>
        <v>280000</v>
      </c>
      <c r="M46" s="471">
        <f t="shared" si="21"/>
        <v>350000</v>
      </c>
      <c r="N46" s="471">
        <f t="shared" si="21"/>
        <v>350000</v>
      </c>
      <c r="O46" s="471">
        <f t="shared" si="21"/>
        <v>350000</v>
      </c>
      <c r="P46" s="471">
        <f t="shared" si="21"/>
        <v>350000</v>
      </c>
      <c r="Q46" s="471">
        <f t="shared" si="21"/>
        <v>350000</v>
      </c>
      <c r="R46" s="471">
        <f t="shared" si="21"/>
        <v>350000</v>
      </c>
      <c r="S46" s="471">
        <f t="shared" si="21"/>
        <v>350000</v>
      </c>
      <c r="T46" s="471">
        <f t="shared" si="21"/>
        <v>350000</v>
      </c>
      <c r="U46" s="471">
        <f t="shared" si="21"/>
        <v>350000</v>
      </c>
      <c r="V46" s="471">
        <f t="shared" si="21"/>
        <v>350000</v>
      </c>
      <c r="W46" s="471">
        <f t="shared" si="21"/>
        <v>350000</v>
      </c>
      <c r="X46" s="471">
        <f t="shared" si="21"/>
        <v>350000</v>
      </c>
      <c r="Y46" s="471">
        <f t="shared" si="21"/>
        <v>350000</v>
      </c>
      <c r="Z46" s="471">
        <f t="shared" si="21"/>
        <v>350000</v>
      </c>
      <c r="AA46" s="471">
        <f t="shared" si="21"/>
        <v>350000</v>
      </c>
      <c r="AB46" s="471">
        <f t="shared" si="21"/>
        <v>350000</v>
      </c>
      <c r="AC46" s="471">
        <f t="shared" si="21"/>
        <v>350000</v>
      </c>
      <c r="AD46" s="471">
        <f t="shared" si="21"/>
        <v>350000</v>
      </c>
      <c r="AE46" s="471">
        <f t="shared" si="21"/>
        <v>350000</v>
      </c>
      <c r="AF46" s="471">
        <f t="shared" si="21"/>
        <v>350000</v>
      </c>
      <c r="AG46" s="471">
        <f t="shared" si="21"/>
        <v>350000</v>
      </c>
      <c r="AH46" s="471">
        <f t="shared" si="21"/>
        <v>350000</v>
      </c>
      <c r="AI46" s="471">
        <f t="shared" si="21"/>
        <v>350000</v>
      </c>
      <c r="AJ46" s="471">
        <f t="shared" si="21"/>
        <v>350000</v>
      </c>
      <c r="AK46" s="470">
        <f t="shared" si="21"/>
        <v>350000</v>
      </c>
      <c r="AO46" s="429"/>
      <c r="BC46" s="429"/>
      <c r="BD46" s="429"/>
      <c r="BE46" s="429"/>
      <c r="BF46" s="429"/>
      <c r="BG46" s="429"/>
      <c r="BH46" s="429"/>
    </row>
    <row r="47" spans="1:60" s="429" customFormat="1">
      <c r="A47" s="452"/>
      <c r="B47" s="477" t="s">
        <v>284</v>
      </c>
      <c r="C47" s="476" t="s">
        <v>276</v>
      </c>
      <c r="D47" s="484"/>
      <c r="E47" s="529"/>
      <c r="F47" s="528"/>
      <c r="G47" s="902"/>
      <c r="H47" s="532"/>
      <c r="I47" s="531"/>
      <c r="J47" s="531"/>
      <c r="K47" s="531"/>
      <c r="L47" s="531"/>
      <c r="M47" s="531"/>
      <c r="N47" s="531"/>
      <c r="O47" s="531"/>
      <c r="P47" s="531"/>
      <c r="Q47" s="531"/>
      <c r="R47" s="531"/>
      <c r="S47" s="531"/>
      <c r="T47" s="531"/>
      <c r="U47" s="531"/>
      <c r="V47" s="531"/>
      <c r="W47" s="531"/>
      <c r="X47" s="531"/>
      <c r="Y47" s="531"/>
      <c r="Z47" s="531"/>
      <c r="AA47" s="531"/>
      <c r="AB47" s="531"/>
      <c r="AC47" s="531"/>
      <c r="AD47" s="531"/>
      <c r="AE47" s="531"/>
      <c r="AF47" s="531"/>
      <c r="AG47" s="531"/>
      <c r="AH47" s="531"/>
      <c r="AI47" s="531"/>
      <c r="AJ47" s="531"/>
      <c r="AK47" s="530"/>
      <c r="AL47" s="428"/>
      <c r="AM47" s="428"/>
      <c r="AN47" s="428"/>
      <c r="AO47" s="428"/>
    </row>
    <row r="48" spans="1:60" s="429" customFormat="1">
      <c r="A48" s="452"/>
      <c r="B48" s="477" t="s">
        <v>287</v>
      </c>
      <c r="C48" s="476" t="s">
        <v>276</v>
      </c>
      <c r="D48" s="475">
        <v>4.6900000000000004</v>
      </c>
      <c r="E48" s="474">
        <f>C43</f>
        <v>350000</v>
      </c>
      <c r="F48" s="473">
        <f>D48*E48</f>
        <v>1641500.0000000002</v>
      </c>
      <c r="G48" s="902"/>
      <c r="H48" s="472">
        <f>$F$48*H42</f>
        <v>0</v>
      </c>
      <c r="I48" s="471">
        <f t="shared" ref="I48:AK48" si="22">$F$48*I42</f>
        <v>0</v>
      </c>
      <c r="J48" s="471">
        <f t="shared" si="22"/>
        <v>3283000.0000000005</v>
      </c>
      <c r="K48" s="471">
        <f t="shared" si="22"/>
        <v>16415000.000000002</v>
      </c>
      <c r="L48" s="471">
        <f t="shared" si="22"/>
        <v>32830000.000000004</v>
      </c>
      <c r="M48" s="471">
        <f t="shared" si="22"/>
        <v>41037500.000000007</v>
      </c>
      <c r="N48" s="471">
        <f t="shared" si="22"/>
        <v>41037500.000000007</v>
      </c>
      <c r="O48" s="471">
        <f t="shared" si="22"/>
        <v>41037500.000000007</v>
      </c>
      <c r="P48" s="471">
        <f t="shared" si="22"/>
        <v>41037500.000000007</v>
      </c>
      <c r="Q48" s="471">
        <f t="shared" si="22"/>
        <v>41037500.000000007</v>
      </c>
      <c r="R48" s="471">
        <f t="shared" si="22"/>
        <v>41037500.000000007</v>
      </c>
      <c r="S48" s="471">
        <f t="shared" si="22"/>
        <v>41037500.000000007</v>
      </c>
      <c r="T48" s="471">
        <f t="shared" si="22"/>
        <v>41037500.000000007</v>
      </c>
      <c r="U48" s="471">
        <f t="shared" si="22"/>
        <v>41037500.000000007</v>
      </c>
      <c r="V48" s="471">
        <f t="shared" si="22"/>
        <v>41037500.000000007</v>
      </c>
      <c r="W48" s="471">
        <f t="shared" si="22"/>
        <v>41037500.000000007</v>
      </c>
      <c r="X48" s="471">
        <f t="shared" si="22"/>
        <v>41037500.000000007</v>
      </c>
      <c r="Y48" s="471">
        <f t="shared" si="22"/>
        <v>41037500.000000007</v>
      </c>
      <c r="Z48" s="471">
        <f t="shared" si="22"/>
        <v>41037500.000000007</v>
      </c>
      <c r="AA48" s="471">
        <f t="shared" si="22"/>
        <v>41037500.000000007</v>
      </c>
      <c r="AB48" s="471">
        <f t="shared" si="22"/>
        <v>41037500.000000007</v>
      </c>
      <c r="AC48" s="471">
        <f t="shared" si="22"/>
        <v>41037500.000000007</v>
      </c>
      <c r="AD48" s="471">
        <f t="shared" si="22"/>
        <v>41037500.000000007</v>
      </c>
      <c r="AE48" s="471">
        <f t="shared" si="22"/>
        <v>41037500.000000007</v>
      </c>
      <c r="AF48" s="471">
        <f t="shared" si="22"/>
        <v>41037500.000000007</v>
      </c>
      <c r="AG48" s="471">
        <f t="shared" si="22"/>
        <v>41037500.000000007</v>
      </c>
      <c r="AH48" s="471">
        <f t="shared" si="22"/>
        <v>41037500.000000007</v>
      </c>
      <c r="AI48" s="471">
        <f t="shared" si="22"/>
        <v>41037500.000000007</v>
      </c>
      <c r="AJ48" s="471">
        <f t="shared" si="22"/>
        <v>41037500.000000007</v>
      </c>
      <c r="AK48" s="470">
        <f t="shared" si="22"/>
        <v>41037500.000000007</v>
      </c>
      <c r="AL48" s="428"/>
      <c r="AM48" s="428"/>
      <c r="AN48" s="428"/>
      <c r="AO48" s="428"/>
      <c r="AP48" s="428"/>
      <c r="AQ48" s="428"/>
      <c r="AR48" s="428"/>
      <c r="AS48" s="428"/>
      <c r="AT48" s="428"/>
      <c r="AU48" s="428"/>
      <c r="AV48" s="428"/>
      <c r="AW48" s="428"/>
      <c r="AX48" s="428"/>
      <c r="AY48" s="428"/>
      <c r="AZ48" s="428"/>
      <c r="BA48" s="428"/>
      <c r="BB48" s="428"/>
      <c r="BC48" s="428"/>
      <c r="BD48" s="428"/>
      <c r="BE48" s="428"/>
      <c r="BF48" s="428"/>
      <c r="BG48" s="428"/>
      <c r="BH48" s="428"/>
    </row>
    <row r="49" spans="1:60" s="429" customFormat="1">
      <c r="A49" s="452"/>
      <c r="B49" s="477" t="s">
        <v>520</v>
      </c>
      <c r="C49" s="476" t="s">
        <v>276</v>
      </c>
      <c r="D49" s="548">
        <v>0.1</v>
      </c>
      <c r="E49" s="474">
        <f>C43</f>
        <v>350000</v>
      </c>
      <c r="F49" s="473">
        <f>D49*E49</f>
        <v>35000</v>
      </c>
      <c r="G49" s="902"/>
      <c r="H49" s="472">
        <f>$F$49*H42</f>
        <v>0</v>
      </c>
      <c r="I49" s="471">
        <f t="shared" ref="I49:AK49" si="23">$F$49*I42</f>
        <v>0</v>
      </c>
      <c r="J49" s="471">
        <f t="shared" si="23"/>
        <v>70000</v>
      </c>
      <c r="K49" s="471">
        <f t="shared" si="23"/>
        <v>350000</v>
      </c>
      <c r="L49" s="471">
        <f t="shared" si="23"/>
        <v>700000</v>
      </c>
      <c r="M49" s="471">
        <f t="shared" si="23"/>
        <v>875000</v>
      </c>
      <c r="N49" s="471">
        <f t="shared" si="23"/>
        <v>875000</v>
      </c>
      <c r="O49" s="471">
        <f t="shared" si="23"/>
        <v>875000</v>
      </c>
      <c r="P49" s="471">
        <f t="shared" si="23"/>
        <v>875000</v>
      </c>
      <c r="Q49" s="471">
        <f t="shared" si="23"/>
        <v>875000</v>
      </c>
      <c r="R49" s="471">
        <f t="shared" si="23"/>
        <v>875000</v>
      </c>
      <c r="S49" s="471">
        <f t="shared" si="23"/>
        <v>875000</v>
      </c>
      <c r="T49" s="471">
        <f t="shared" si="23"/>
        <v>875000</v>
      </c>
      <c r="U49" s="471">
        <f t="shared" si="23"/>
        <v>875000</v>
      </c>
      <c r="V49" s="471">
        <f t="shared" si="23"/>
        <v>875000</v>
      </c>
      <c r="W49" s="471">
        <f t="shared" si="23"/>
        <v>875000</v>
      </c>
      <c r="X49" s="471">
        <f t="shared" si="23"/>
        <v>875000</v>
      </c>
      <c r="Y49" s="471">
        <f t="shared" si="23"/>
        <v>875000</v>
      </c>
      <c r="Z49" s="471">
        <f t="shared" si="23"/>
        <v>875000</v>
      </c>
      <c r="AA49" s="471">
        <f t="shared" si="23"/>
        <v>875000</v>
      </c>
      <c r="AB49" s="471">
        <f t="shared" si="23"/>
        <v>875000</v>
      </c>
      <c r="AC49" s="471">
        <f t="shared" si="23"/>
        <v>875000</v>
      </c>
      <c r="AD49" s="471">
        <f t="shared" si="23"/>
        <v>875000</v>
      </c>
      <c r="AE49" s="471">
        <f t="shared" si="23"/>
        <v>875000</v>
      </c>
      <c r="AF49" s="471">
        <f t="shared" si="23"/>
        <v>875000</v>
      </c>
      <c r="AG49" s="471">
        <f t="shared" si="23"/>
        <v>875000</v>
      </c>
      <c r="AH49" s="471">
        <f t="shared" si="23"/>
        <v>875000</v>
      </c>
      <c r="AI49" s="471">
        <f t="shared" si="23"/>
        <v>875000</v>
      </c>
      <c r="AJ49" s="471">
        <f t="shared" si="23"/>
        <v>875000</v>
      </c>
      <c r="AK49" s="470">
        <f t="shared" si="23"/>
        <v>875000</v>
      </c>
      <c r="AL49" s="428"/>
      <c r="AM49" s="428"/>
      <c r="AN49" s="428"/>
      <c r="AO49" s="428"/>
      <c r="AP49" s="428"/>
      <c r="AQ49" s="428"/>
      <c r="AR49" s="428"/>
      <c r="AS49" s="428"/>
      <c r="AT49" s="428"/>
      <c r="AU49" s="428"/>
      <c r="AV49" s="428"/>
      <c r="AW49" s="428"/>
      <c r="AX49" s="428"/>
      <c r="AY49" s="428"/>
      <c r="AZ49" s="428"/>
      <c r="BA49" s="428"/>
      <c r="BB49" s="428"/>
      <c r="BC49" s="428"/>
      <c r="BD49" s="428"/>
      <c r="BE49" s="428"/>
      <c r="BF49" s="428"/>
      <c r="BG49" s="428"/>
      <c r="BH49" s="428"/>
    </row>
    <row r="50" spans="1:60">
      <c r="A50" s="452"/>
      <c r="B50" s="477" t="s">
        <v>330</v>
      </c>
      <c r="C50" s="476" t="s">
        <v>276</v>
      </c>
      <c r="D50" s="475">
        <v>0.11</v>
      </c>
      <c r="E50" s="474">
        <f>C43</f>
        <v>350000</v>
      </c>
      <c r="F50" s="473">
        <f t="shared" ref="F50:F51" si="24">D50*E50</f>
        <v>38500</v>
      </c>
      <c r="G50" s="902"/>
      <c r="H50" s="472">
        <f>$F$50*H42</f>
        <v>0</v>
      </c>
      <c r="I50" s="471">
        <f t="shared" ref="I50:AK50" si="25">$F$50*I42</f>
        <v>0</v>
      </c>
      <c r="J50" s="471">
        <f t="shared" si="25"/>
        <v>77000</v>
      </c>
      <c r="K50" s="471">
        <f t="shared" si="25"/>
        <v>385000</v>
      </c>
      <c r="L50" s="471">
        <f t="shared" si="25"/>
        <v>770000</v>
      </c>
      <c r="M50" s="471">
        <f t="shared" si="25"/>
        <v>962500</v>
      </c>
      <c r="N50" s="471">
        <f t="shared" si="25"/>
        <v>962500</v>
      </c>
      <c r="O50" s="471">
        <f t="shared" si="25"/>
        <v>962500</v>
      </c>
      <c r="P50" s="471">
        <f t="shared" si="25"/>
        <v>962500</v>
      </c>
      <c r="Q50" s="471">
        <f t="shared" si="25"/>
        <v>962500</v>
      </c>
      <c r="R50" s="471">
        <f t="shared" si="25"/>
        <v>962500</v>
      </c>
      <c r="S50" s="471">
        <f t="shared" si="25"/>
        <v>962500</v>
      </c>
      <c r="T50" s="471">
        <f t="shared" si="25"/>
        <v>962500</v>
      </c>
      <c r="U50" s="471">
        <f t="shared" si="25"/>
        <v>962500</v>
      </c>
      <c r="V50" s="471">
        <f t="shared" si="25"/>
        <v>962500</v>
      </c>
      <c r="W50" s="471">
        <f t="shared" si="25"/>
        <v>962500</v>
      </c>
      <c r="X50" s="471">
        <f t="shared" si="25"/>
        <v>962500</v>
      </c>
      <c r="Y50" s="471">
        <f t="shared" si="25"/>
        <v>962500</v>
      </c>
      <c r="Z50" s="471">
        <f t="shared" si="25"/>
        <v>962500</v>
      </c>
      <c r="AA50" s="471">
        <f t="shared" si="25"/>
        <v>962500</v>
      </c>
      <c r="AB50" s="471">
        <f t="shared" si="25"/>
        <v>962500</v>
      </c>
      <c r="AC50" s="471">
        <f t="shared" si="25"/>
        <v>962500</v>
      </c>
      <c r="AD50" s="471">
        <f t="shared" si="25"/>
        <v>962500</v>
      </c>
      <c r="AE50" s="471">
        <f t="shared" si="25"/>
        <v>962500</v>
      </c>
      <c r="AF50" s="471">
        <f t="shared" si="25"/>
        <v>962500</v>
      </c>
      <c r="AG50" s="471">
        <f t="shared" si="25"/>
        <v>962500</v>
      </c>
      <c r="AH50" s="471">
        <f t="shared" si="25"/>
        <v>962500</v>
      </c>
      <c r="AI50" s="471">
        <f t="shared" si="25"/>
        <v>962500</v>
      </c>
      <c r="AJ50" s="471">
        <f t="shared" si="25"/>
        <v>962500</v>
      </c>
      <c r="AK50" s="470">
        <f t="shared" si="25"/>
        <v>962500</v>
      </c>
    </row>
    <row r="51" spans="1:60">
      <c r="A51" s="452"/>
      <c r="B51" s="477" t="s">
        <v>331</v>
      </c>
      <c r="C51" s="476" t="s">
        <v>276</v>
      </c>
      <c r="D51" s="475">
        <v>0.78</v>
      </c>
      <c r="E51" s="474">
        <f>C43</f>
        <v>350000</v>
      </c>
      <c r="F51" s="473">
        <f t="shared" si="24"/>
        <v>273000</v>
      </c>
      <c r="G51" s="902"/>
      <c r="H51" s="472">
        <f>$F$51*H42</f>
        <v>0</v>
      </c>
      <c r="I51" s="471">
        <f t="shared" ref="I51:AK51" si="26">$F$51*I42</f>
        <v>0</v>
      </c>
      <c r="J51" s="471">
        <f t="shared" si="26"/>
        <v>546000</v>
      </c>
      <c r="K51" s="471">
        <f t="shared" si="26"/>
        <v>2730000</v>
      </c>
      <c r="L51" s="471">
        <f t="shared" si="26"/>
        <v>5460000</v>
      </c>
      <c r="M51" s="471">
        <f t="shared" si="26"/>
        <v>6825000</v>
      </c>
      <c r="N51" s="471">
        <f t="shared" si="26"/>
        <v>6825000</v>
      </c>
      <c r="O51" s="471">
        <f t="shared" si="26"/>
        <v>6825000</v>
      </c>
      <c r="P51" s="471">
        <f t="shared" si="26"/>
        <v>6825000</v>
      </c>
      <c r="Q51" s="471">
        <f t="shared" si="26"/>
        <v>6825000</v>
      </c>
      <c r="R51" s="471">
        <f t="shared" si="26"/>
        <v>6825000</v>
      </c>
      <c r="S51" s="471">
        <f t="shared" si="26"/>
        <v>6825000</v>
      </c>
      <c r="T51" s="471">
        <f t="shared" si="26"/>
        <v>6825000</v>
      </c>
      <c r="U51" s="471">
        <f t="shared" si="26"/>
        <v>6825000</v>
      </c>
      <c r="V51" s="471">
        <f t="shared" si="26"/>
        <v>6825000</v>
      </c>
      <c r="W51" s="471">
        <f t="shared" si="26"/>
        <v>6825000</v>
      </c>
      <c r="X51" s="471">
        <f t="shared" si="26"/>
        <v>6825000</v>
      </c>
      <c r="Y51" s="471">
        <f t="shared" si="26"/>
        <v>6825000</v>
      </c>
      <c r="Z51" s="471">
        <f t="shared" si="26"/>
        <v>6825000</v>
      </c>
      <c r="AA51" s="471">
        <f t="shared" si="26"/>
        <v>6825000</v>
      </c>
      <c r="AB51" s="471">
        <f t="shared" si="26"/>
        <v>6825000</v>
      </c>
      <c r="AC51" s="471">
        <f t="shared" si="26"/>
        <v>6825000</v>
      </c>
      <c r="AD51" s="471">
        <f t="shared" si="26"/>
        <v>6825000</v>
      </c>
      <c r="AE51" s="471">
        <f t="shared" si="26"/>
        <v>6825000</v>
      </c>
      <c r="AF51" s="471">
        <f t="shared" si="26"/>
        <v>6825000</v>
      </c>
      <c r="AG51" s="471">
        <f t="shared" si="26"/>
        <v>6825000</v>
      </c>
      <c r="AH51" s="471">
        <f t="shared" si="26"/>
        <v>6825000</v>
      </c>
      <c r="AI51" s="471">
        <f t="shared" si="26"/>
        <v>6825000</v>
      </c>
      <c r="AJ51" s="471">
        <f t="shared" si="26"/>
        <v>6825000</v>
      </c>
      <c r="AK51" s="470">
        <f t="shared" si="26"/>
        <v>6825000</v>
      </c>
    </row>
    <row r="52" spans="1:60" ht="13.5" thickBot="1">
      <c r="A52" s="452"/>
      <c r="B52" s="586" t="s">
        <v>519</v>
      </c>
      <c r="C52" s="597" t="s">
        <v>276</v>
      </c>
      <c r="D52" s="598"/>
      <c r="E52" s="598"/>
      <c r="F52" s="599"/>
      <c r="G52" s="902"/>
      <c r="H52" s="600"/>
      <c r="I52" s="601"/>
      <c r="J52" s="601"/>
      <c r="K52" s="601"/>
      <c r="L52" s="601"/>
      <c r="M52" s="601"/>
      <c r="N52" s="601"/>
      <c r="O52" s="601"/>
      <c r="P52" s="601"/>
      <c r="Q52" s="601"/>
      <c r="R52" s="601"/>
      <c r="S52" s="601"/>
      <c r="T52" s="601"/>
      <c r="U52" s="601"/>
      <c r="V52" s="601"/>
      <c r="W52" s="601"/>
      <c r="X52" s="601"/>
      <c r="Y52" s="601"/>
      <c r="Z52" s="601"/>
      <c r="AA52" s="601"/>
      <c r="AB52" s="601"/>
      <c r="AC52" s="601"/>
      <c r="AD52" s="601"/>
      <c r="AE52" s="601"/>
      <c r="AF52" s="601"/>
      <c r="AG52" s="601"/>
      <c r="AH52" s="601"/>
      <c r="AI52" s="601"/>
      <c r="AJ52" s="601"/>
      <c r="AK52" s="599"/>
    </row>
    <row r="53" spans="1:60" ht="13.5" thickTop="1">
      <c r="A53" s="452"/>
      <c r="B53" s="461" t="s">
        <v>518</v>
      </c>
      <c r="C53" s="590" t="s">
        <v>276</v>
      </c>
      <c r="D53" s="459">
        <v>0.18</v>
      </c>
      <c r="E53" s="602">
        <f>C43</f>
        <v>350000</v>
      </c>
      <c r="F53" s="457">
        <f>D53*E53</f>
        <v>63000</v>
      </c>
      <c r="G53" s="902"/>
      <c r="H53" s="603">
        <f>$F$53*H42</f>
        <v>0</v>
      </c>
      <c r="I53" s="604">
        <f t="shared" ref="I53:AK53" si="27">$F$53*I42</f>
        <v>0</v>
      </c>
      <c r="J53" s="604">
        <f t="shared" si="27"/>
        <v>126000</v>
      </c>
      <c r="K53" s="604">
        <f t="shared" si="27"/>
        <v>630000</v>
      </c>
      <c r="L53" s="604">
        <f t="shared" si="27"/>
        <v>1260000</v>
      </c>
      <c r="M53" s="604">
        <f t="shared" si="27"/>
        <v>1575000</v>
      </c>
      <c r="N53" s="604">
        <f t="shared" si="27"/>
        <v>1575000</v>
      </c>
      <c r="O53" s="604">
        <f t="shared" si="27"/>
        <v>1575000</v>
      </c>
      <c r="P53" s="604">
        <f t="shared" si="27"/>
        <v>1575000</v>
      </c>
      <c r="Q53" s="604">
        <f t="shared" si="27"/>
        <v>1575000</v>
      </c>
      <c r="R53" s="604">
        <f t="shared" si="27"/>
        <v>1575000</v>
      </c>
      <c r="S53" s="604">
        <f t="shared" si="27"/>
        <v>1575000</v>
      </c>
      <c r="T53" s="604">
        <f t="shared" si="27"/>
        <v>1575000</v>
      </c>
      <c r="U53" s="604">
        <f t="shared" si="27"/>
        <v>1575000</v>
      </c>
      <c r="V53" s="604">
        <f t="shared" si="27"/>
        <v>1575000</v>
      </c>
      <c r="W53" s="604">
        <f t="shared" si="27"/>
        <v>1575000</v>
      </c>
      <c r="X53" s="604">
        <f t="shared" si="27"/>
        <v>1575000</v>
      </c>
      <c r="Y53" s="604">
        <f t="shared" si="27"/>
        <v>1575000</v>
      </c>
      <c r="Z53" s="604">
        <f t="shared" si="27"/>
        <v>1575000</v>
      </c>
      <c r="AA53" s="604">
        <f t="shared" si="27"/>
        <v>1575000</v>
      </c>
      <c r="AB53" s="604">
        <f t="shared" si="27"/>
        <v>1575000</v>
      </c>
      <c r="AC53" s="604">
        <f t="shared" si="27"/>
        <v>1575000</v>
      </c>
      <c r="AD53" s="604">
        <f t="shared" si="27"/>
        <v>1575000</v>
      </c>
      <c r="AE53" s="604">
        <f t="shared" si="27"/>
        <v>1575000</v>
      </c>
      <c r="AF53" s="604">
        <f t="shared" si="27"/>
        <v>1575000</v>
      </c>
      <c r="AG53" s="604">
        <f t="shared" si="27"/>
        <v>1575000</v>
      </c>
      <c r="AH53" s="604">
        <f t="shared" si="27"/>
        <v>1575000</v>
      </c>
      <c r="AI53" s="604">
        <f t="shared" si="27"/>
        <v>1575000</v>
      </c>
      <c r="AJ53" s="604">
        <f t="shared" si="27"/>
        <v>1575000</v>
      </c>
      <c r="AK53" s="605">
        <f t="shared" si="27"/>
        <v>1575000</v>
      </c>
    </row>
    <row r="54" spans="1:60" ht="13.5" thickBot="1">
      <c r="A54" s="452"/>
      <c r="B54" s="451" t="s">
        <v>517</v>
      </c>
      <c r="C54" s="515" t="s">
        <v>276</v>
      </c>
      <c r="D54" s="591">
        <v>40000</v>
      </c>
      <c r="E54" s="582">
        <v>1</v>
      </c>
      <c r="F54" s="583">
        <f>D54*E54</f>
        <v>40000</v>
      </c>
      <c r="G54" s="903"/>
      <c r="H54" s="511">
        <f>$F$54*H42</f>
        <v>0</v>
      </c>
      <c r="I54" s="510">
        <f t="shared" ref="I54:AK54" si="28">$F$54*I42</f>
        <v>0</v>
      </c>
      <c r="J54" s="510">
        <f t="shared" si="28"/>
        <v>80000</v>
      </c>
      <c r="K54" s="510">
        <f t="shared" si="28"/>
        <v>400000</v>
      </c>
      <c r="L54" s="510">
        <f t="shared" si="28"/>
        <v>800000</v>
      </c>
      <c r="M54" s="510">
        <f t="shared" si="28"/>
        <v>1000000</v>
      </c>
      <c r="N54" s="510">
        <f t="shared" si="28"/>
        <v>1000000</v>
      </c>
      <c r="O54" s="510">
        <f t="shared" si="28"/>
        <v>1000000</v>
      </c>
      <c r="P54" s="510">
        <f t="shared" si="28"/>
        <v>1000000</v>
      </c>
      <c r="Q54" s="510">
        <f t="shared" si="28"/>
        <v>1000000</v>
      </c>
      <c r="R54" s="510">
        <f t="shared" si="28"/>
        <v>1000000</v>
      </c>
      <c r="S54" s="510">
        <f t="shared" si="28"/>
        <v>1000000</v>
      </c>
      <c r="T54" s="510">
        <f t="shared" si="28"/>
        <v>1000000</v>
      </c>
      <c r="U54" s="510">
        <f t="shared" si="28"/>
        <v>1000000</v>
      </c>
      <c r="V54" s="510">
        <f t="shared" si="28"/>
        <v>1000000</v>
      </c>
      <c r="W54" s="510">
        <f t="shared" si="28"/>
        <v>1000000</v>
      </c>
      <c r="X54" s="510">
        <f t="shared" si="28"/>
        <v>1000000</v>
      </c>
      <c r="Y54" s="510">
        <f t="shared" si="28"/>
        <v>1000000</v>
      </c>
      <c r="Z54" s="510">
        <f t="shared" si="28"/>
        <v>1000000</v>
      </c>
      <c r="AA54" s="510">
        <f t="shared" si="28"/>
        <v>1000000</v>
      </c>
      <c r="AB54" s="510">
        <f t="shared" si="28"/>
        <v>1000000</v>
      </c>
      <c r="AC54" s="510">
        <f t="shared" si="28"/>
        <v>1000000</v>
      </c>
      <c r="AD54" s="510">
        <f t="shared" si="28"/>
        <v>1000000</v>
      </c>
      <c r="AE54" s="510">
        <f t="shared" si="28"/>
        <v>1000000</v>
      </c>
      <c r="AF54" s="510">
        <f t="shared" si="28"/>
        <v>1000000</v>
      </c>
      <c r="AG54" s="510">
        <f t="shared" si="28"/>
        <v>1000000</v>
      </c>
      <c r="AH54" s="510">
        <f t="shared" si="28"/>
        <v>1000000</v>
      </c>
      <c r="AI54" s="510">
        <f t="shared" si="28"/>
        <v>1000000</v>
      </c>
      <c r="AJ54" s="510">
        <f t="shared" si="28"/>
        <v>1000000</v>
      </c>
      <c r="AK54" s="509">
        <f t="shared" si="28"/>
        <v>1000000</v>
      </c>
    </row>
    <row r="55" spans="1:60">
      <c r="A55" s="452"/>
      <c r="B55" s="452"/>
      <c r="C55" s="452"/>
      <c r="D55" s="452"/>
      <c r="E55" s="452"/>
      <c r="F55" s="508"/>
      <c r="G55" s="452"/>
      <c r="H55" s="508"/>
      <c r="I55" s="508"/>
      <c r="J55" s="508"/>
      <c r="K55" s="508"/>
      <c r="L55" s="508"/>
      <c r="M55" s="508"/>
      <c r="N55" s="508"/>
      <c r="O55" s="508"/>
      <c r="P55" s="508"/>
      <c r="Q55" s="508"/>
      <c r="R55" s="508"/>
      <c r="S55" s="508"/>
      <c r="T55" s="508"/>
      <c r="U55" s="508"/>
      <c r="V55" s="508"/>
      <c r="W55" s="508"/>
      <c r="X55" s="508"/>
      <c r="Y55" s="508"/>
      <c r="Z55" s="508"/>
      <c r="AA55" s="508"/>
      <c r="AB55" s="508"/>
      <c r="AC55" s="508"/>
      <c r="AD55" s="508"/>
      <c r="AE55" s="508"/>
      <c r="AF55" s="508"/>
      <c r="AG55" s="508"/>
      <c r="AH55" s="508"/>
      <c r="AI55" s="508"/>
      <c r="AJ55" s="508"/>
      <c r="AK55" s="508"/>
    </row>
    <row r="56" spans="1:60" ht="13.5" thickBot="1">
      <c r="A56" s="452"/>
      <c r="B56" s="452"/>
      <c r="C56" s="452"/>
      <c r="D56" s="452"/>
      <c r="E56" s="452"/>
      <c r="F56" s="452"/>
      <c r="G56" s="452"/>
      <c r="H56" s="508"/>
      <c r="I56" s="508"/>
      <c r="J56" s="452"/>
      <c r="K56" s="452"/>
      <c r="L56" s="452"/>
      <c r="M56" s="508"/>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row>
    <row r="57" spans="1:60">
      <c r="A57" s="452"/>
      <c r="B57" s="892" t="s">
        <v>533</v>
      </c>
      <c r="C57" s="507" t="s">
        <v>532</v>
      </c>
      <c r="D57" s="894" t="s">
        <v>531</v>
      </c>
      <c r="E57" s="894" t="s">
        <v>530</v>
      </c>
      <c r="F57" s="897" t="s">
        <v>529</v>
      </c>
      <c r="G57" s="506" t="s">
        <v>528</v>
      </c>
      <c r="H57" s="505">
        <v>2023</v>
      </c>
      <c r="I57" s="504">
        <f>H57+1</f>
        <v>2024</v>
      </c>
      <c r="J57" s="504">
        <f>I57+1</f>
        <v>2025</v>
      </c>
      <c r="K57" s="504">
        <f t="shared" ref="K57:L57" si="29">J57+1</f>
        <v>2026</v>
      </c>
      <c r="L57" s="504">
        <f t="shared" si="29"/>
        <v>2027</v>
      </c>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row>
    <row r="58" spans="1:60">
      <c r="A58" s="452"/>
      <c r="B58" s="893"/>
      <c r="C58" s="503" t="s">
        <v>527</v>
      </c>
      <c r="D58" s="895"/>
      <c r="E58" s="895"/>
      <c r="F58" s="898"/>
      <c r="G58" s="502" t="s">
        <v>526</v>
      </c>
      <c r="H58" s="501">
        <v>11</v>
      </c>
      <c r="I58" s="501">
        <v>11</v>
      </c>
      <c r="J58" s="501">
        <v>11</v>
      </c>
      <c r="K58" s="501">
        <v>11</v>
      </c>
      <c r="L58" s="501">
        <v>6</v>
      </c>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row>
    <row r="59" spans="1:60" ht="12.95" customHeight="1" thickBot="1">
      <c r="A59" s="452"/>
      <c r="B59" s="500" t="s">
        <v>525</v>
      </c>
      <c r="C59" s="499">
        <f>340*900</f>
        <v>306000</v>
      </c>
      <c r="D59" s="896"/>
      <c r="E59" s="896"/>
      <c r="F59" s="899"/>
      <c r="G59" s="498" t="s">
        <v>524</v>
      </c>
      <c r="H59" s="497">
        <v>10</v>
      </c>
      <c r="I59" s="497">
        <v>10</v>
      </c>
      <c r="J59" s="497">
        <v>10</v>
      </c>
      <c r="K59" s="497">
        <v>10</v>
      </c>
      <c r="L59" s="497">
        <v>5</v>
      </c>
      <c r="M59" s="452"/>
      <c r="N59" s="452"/>
      <c r="O59" s="452"/>
      <c r="P59" s="452"/>
      <c r="Q59" s="452"/>
      <c r="R59" s="452"/>
      <c r="S59" s="452"/>
      <c r="T59" s="452"/>
      <c r="U59" s="452"/>
      <c r="V59" s="452"/>
      <c r="W59" s="452"/>
      <c r="X59" s="452"/>
      <c r="Y59" s="452"/>
      <c r="Z59" s="452"/>
      <c r="AA59" s="452"/>
      <c r="AB59" s="452"/>
      <c r="AC59" s="452"/>
      <c r="AD59" s="452"/>
      <c r="AE59" s="452"/>
      <c r="AF59" s="452"/>
      <c r="AG59" s="452"/>
      <c r="AH59" s="452"/>
      <c r="AI59" s="452"/>
      <c r="AJ59" s="452"/>
      <c r="AK59" s="452"/>
    </row>
    <row r="60" spans="1:60" ht="12.6" customHeight="1">
      <c r="A60" s="452"/>
      <c r="B60" s="496" t="s">
        <v>523</v>
      </c>
      <c r="C60" s="495" t="s">
        <v>276</v>
      </c>
      <c r="D60" s="494">
        <v>2.76</v>
      </c>
      <c r="E60" s="493">
        <f>340*900</f>
        <v>306000</v>
      </c>
      <c r="F60" s="492">
        <f>D60*E60</f>
        <v>844559.99999999988</v>
      </c>
      <c r="G60" s="900"/>
      <c r="H60" s="606">
        <f>$F$60*H58</f>
        <v>9290159.9999999981</v>
      </c>
      <c r="I60" s="607">
        <f t="shared" ref="I60:L60" si="30">$F$60*I58</f>
        <v>9290159.9999999981</v>
      </c>
      <c r="J60" s="607">
        <f t="shared" si="30"/>
        <v>9290159.9999999981</v>
      </c>
      <c r="K60" s="607">
        <f t="shared" si="30"/>
        <v>9290159.9999999981</v>
      </c>
      <c r="L60" s="608">
        <f t="shared" si="30"/>
        <v>5067359.9999999991</v>
      </c>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row>
    <row r="61" spans="1:60">
      <c r="A61" s="452"/>
      <c r="B61" s="477" t="s">
        <v>522</v>
      </c>
      <c r="C61" s="476" t="s">
        <v>276</v>
      </c>
      <c r="D61" s="488"/>
      <c r="E61" s="487"/>
      <c r="F61" s="486"/>
      <c r="G61" s="900"/>
      <c r="H61" s="578"/>
      <c r="I61" s="579"/>
      <c r="J61" s="579"/>
      <c r="K61" s="579"/>
      <c r="L61" s="580"/>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row>
    <row r="62" spans="1:60">
      <c r="A62" s="452"/>
      <c r="B62" s="477" t="s">
        <v>521</v>
      </c>
      <c r="C62" s="476" t="s">
        <v>276</v>
      </c>
      <c r="D62" s="475">
        <v>0.64</v>
      </c>
      <c r="E62" s="474">
        <f>340*900</f>
        <v>306000</v>
      </c>
      <c r="F62" s="473">
        <f>D62*E62</f>
        <v>195840</v>
      </c>
      <c r="G62" s="900"/>
      <c r="H62" s="563">
        <f>$F$62*H58</f>
        <v>2154240</v>
      </c>
      <c r="I62" s="576">
        <f t="shared" ref="I62:L62" si="31">$F$62*I58</f>
        <v>2154240</v>
      </c>
      <c r="J62" s="576">
        <f t="shared" si="31"/>
        <v>2154240</v>
      </c>
      <c r="K62" s="576">
        <f t="shared" si="31"/>
        <v>2154240</v>
      </c>
      <c r="L62" s="577">
        <f t="shared" si="31"/>
        <v>1175040</v>
      </c>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row>
    <row r="63" spans="1:60">
      <c r="A63" s="452"/>
      <c r="B63" s="477" t="s">
        <v>284</v>
      </c>
      <c r="C63" s="476" t="s">
        <v>276</v>
      </c>
      <c r="D63" s="484"/>
      <c r="E63" s="483"/>
      <c r="F63" s="482"/>
      <c r="G63" s="900"/>
      <c r="H63" s="609"/>
      <c r="I63" s="483"/>
      <c r="J63" s="483"/>
      <c r="K63" s="483"/>
      <c r="L63" s="482"/>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row>
    <row r="64" spans="1:60">
      <c r="A64" s="452"/>
      <c r="B64" s="477" t="s">
        <v>287</v>
      </c>
      <c r="C64" s="476" t="s">
        <v>276</v>
      </c>
      <c r="D64" s="484"/>
      <c r="E64" s="483"/>
      <c r="F64" s="482"/>
      <c r="G64" s="900"/>
      <c r="H64" s="578"/>
      <c r="I64" s="579"/>
      <c r="J64" s="579"/>
      <c r="K64" s="579"/>
      <c r="L64" s="580"/>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row>
    <row r="65" spans="1:60">
      <c r="A65" s="452"/>
      <c r="B65" s="477" t="s">
        <v>520</v>
      </c>
      <c r="C65" s="476" t="s">
        <v>276</v>
      </c>
      <c r="D65" s="478">
        <v>0.36</v>
      </c>
      <c r="E65" s="474">
        <f>340*900</f>
        <v>306000</v>
      </c>
      <c r="F65" s="473">
        <f>D65*E65</f>
        <v>110160</v>
      </c>
      <c r="G65" s="900"/>
      <c r="H65" s="563">
        <f>$F$65*H58</f>
        <v>1211760</v>
      </c>
      <c r="I65" s="563">
        <f t="shared" ref="I65:L65" si="32">$F$65*I58</f>
        <v>1211760</v>
      </c>
      <c r="J65" s="563">
        <f t="shared" si="32"/>
        <v>1211760</v>
      </c>
      <c r="K65" s="563">
        <f t="shared" si="32"/>
        <v>1211760</v>
      </c>
      <c r="L65" s="563">
        <f t="shared" si="32"/>
        <v>660960</v>
      </c>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row>
    <row r="66" spans="1:60">
      <c r="A66" s="452"/>
      <c r="B66" s="477" t="s">
        <v>330</v>
      </c>
      <c r="C66" s="476" t="s">
        <v>276</v>
      </c>
      <c r="D66" s="475">
        <v>1.84</v>
      </c>
      <c r="E66" s="474">
        <f>340*900</f>
        <v>306000</v>
      </c>
      <c r="F66" s="473">
        <f t="shared" ref="F66:F67" si="33">D66*E66</f>
        <v>563040</v>
      </c>
      <c r="G66" s="900"/>
      <c r="H66" s="563">
        <f>$F$66*H58</f>
        <v>6193440</v>
      </c>
      <c r="I66" s="576">
        <f t="shared" ref="I66:L66" si="34">$F$66*I58</f>
        <v>6193440</v>
      </c>
      <c r="J66" s="576">
        <f t="shared" si="34"/>
        <v>6193440</v>
      </c>
      <c r="K66" s="576">
        <f t="shared" si="34"/>
        <v>6193440</v>
      </c>
      <c r="L66" s="577">
        <f t="shared" si="34"/>
        <v>3378240</v>
      </c>
      <c r="M66" s="452"/>
      <c r="N66" s="452"/>
      <c r="O66" s="452"/>
      <c r="P66" s="452"/>
      <c r="Q66" s="452"/>
      <c r="R66" s="452"/>
      <c r="S66" s="452"/>
      <c r="T66" s="452"/>
      <c r="U66" s="452"/>
      <c r="V66" s="452"/>
      <c r="W66" s="452"/>
      <c r="X66" s="452"/>
      <c r="Y66" s="452"/>
      <c r="Z66" s="452"/>
      <c r="AA66" s="452"/>
      <c r="AB66" s="452"/>
      <c r="AC66" s="452"/>
      <c r="AD66" s="452"/>
      <c r="AE66" s="452"/>
      <c r="AF66" s="452"/>
      <c r="AG66" s="452"/>
      <c r="AH66" s="452"/>
      <c r="AI66" s="452"/>
      <c r="AJ66" s="452"/>
      <c r="AK66" s="452"/>
    </row>
    <row r="67" spans="1:60">
      <c r="A67" s="452"/>
      <c r="B67" s="477" t="s">
        <v>331</v>
      </c>
      <c r="C67" s="476" t="s">
        <v>276</v>
      </c>
      <c r="D67" s="475">
        <v>1.93</v>
      </c>
      <c r="E67" s="474">
        <f>340*900</f>
        <v>306000</v>
      </c>
      <c r="F67" s="473">
        <f t="shared" si="33"/>
        <v>590580</v>
      </c>
      <c r="G67" s="900"/>
      <c r="H67" s="566">
        <f>$F$67*H58</f>
        <v>6496380</v>
      </c>
      <c r="I67" s="584">
        <f t="shared" ref="I67:L67" si="35">$F$67*I58</f>
        <v>6496380</v>
      </c>
      <c r="J67" s="584">
        <f t="shared" si="35"/>
        <v>6496380</v>
      </c>
      <c r="K67" s="584">
        <f t="shared" si="35"/>
        <v>6496380</v>
      </c>
      <c r="L67" s="585">
        <f t="shared" si="35"/>
        <v>3543480</v>
      </c>
      <c r="M67" s="452"/>
      <c r="N67" s="452"/>
      <c r="O67" s="452"/>
      <c r="P67" s="452"/>
      <c r="Q67" s="452"/>
      <c r="R67" s="452"/>
      <c r="S67" s="452"/>
      <c r="T67" s="452"/>
      <c r="U67" s="452"/>
      <c r="V67" s="452"/>
      <c r="W67" s="452"/>
      <c r="X67" s="452"/>
      <c r="Y67" s="452"/>
      <c r="Z67" s="452"/>
      <c r="AA67" s="452"/>
      <c r="AB67" s="452"/>
      <c r="AC67" s="452"/>
      <c r="AD67" s="452"/>
      <c r="AE67" s="452"/>
      <c r="AF67" s="452"/>
      <c r="AG67" s="452"/>
      <c r="AH67" s="452"/>
      <c r="AI67" s="452"/>
      <c r="AJ67" s="452"/>
      <c r="AK67" s="452"/>
    </row>
    <row r="68" spans="1:60" ht="13.5" thickBot="1">
      <c r="A68" s="452"/>
      <c r="B68" s="586" t="s">
        <v>519</v>
      </c>
      <c r="C68" s="597" t="s">
        <v>276</v>
      </c>
      <c r="D68" s="610"/>
      <c r="E68" s="611"/>
      <c r="F68" s="612"/>
      <c r="G68" s="900"/>
      <c r="H68" s="464"/>
      <c r="I68" s="569"/>
      <c r="J68" s="569"/>
      <c r="K68" s="569"/>
      <c r="L68" s="570"/>
      <c r="M68" s="452"/>
      <c r="N68" s="452"/>
      <c r="O68" s="452"/>
      <c r="P68" s="452"/>
      <c r="Q68" s="452"/>
      <c r="R68" s="452"/>
      <c r="S68" s="452"/>
      <c r="T68" s="452"/>
      <c r="U68" s="452"/>
      <c r="V68" s="452"/>
      <c r="W68" s="452"/>
      <c r="X68" s="452"/>
      <c r="Y68" s="452"/>
      <c r="Z68" s="452"/>
      <c r="AA68" s="452"/>
      <c r="AB68" s="452"/>
      <c r="AC68" s="452"/>
      <c r="AD68" s="452"/>
      <c r="AE68" s="452"/>
      <c r="AF68" s="452"/>
      <c r="AG68" s="452"/>
      <c r="AH68" s="452"/>
      <c r="AI68" s="452"/>
      <c r="AJ68" s="452"/>
      <c r="AK68" s="452"/>
    </row>
    <row r="69" spans="1:60" ht="13.5" thickTop="1">
      <c r="A69" s="452"/>
      <c r="B69" s="461" t="s">
        <v>518</v>
      </c>
      <c r="C69" s="590" t="s">
        <v>276</v>
      </c>
      <c r="D69" s="459">
        <v>1.1200000000000001</v>
      </c>
      <c r="E69" s="458">
        <f>340*900</f>
        <v>306000</v>
      </c>
      <c r="F69" s="457">
        <f t="shared" ref="F69" si="36">D69*E69</f>
        <v>342720.00000000006</v>
      </c>
      <c r="G69" s="900"/>
      <c r="H69" s="455">
        <f>$F$69*H58</f>
        <v>3769920.0000000005</v>
      </c>
      <c r="I69" s="454">
        <f t="shared" ref="I69:L69" si="37">$F$69*I58</f>
        <v>3769920.0000000005</v>
      </c>
      <c r="J69" s="454">
        <f t="shared" si="37"/>
        <v>3769920.0000000005</v>
      </c>
      <c r="K69" s="454">
        <f t="shared" si="37"/>
        <v>3769920.0000000005</v>
      </c>
      <c r="L69" s="453">
        <f t="shared" si="37"/>
        <v>2056320.0000000005</v>
      </c>
      <c r="M69" s="452"/>
      <c r="N69" s="452"/>
      <c r="O69" s="452"/>
      <c r="P69" s="452"/>
      <c r="Q69" s="452"/>
      <c r="R69" s="452"/>
      <c r="S69" s="452"/>
      <c r="T69" s="452"/>
      <c r="U69" s="452"/>
      <c r="V69" s="452"/>
      <c r="W69" s="452"/>
      <c r="X69" s="452"/>
      <c r="Y69" s="452"/>
      <c r="Z69" s="452"/>
      <c r="AA69" s="452"/>
      <c r="AB69" s="452"/>
      <c r="AC69" s="452"/>
      <c r="AD69" s="452"/>
      <c r="AE69" s="452"/>
      <c r="AF69" s="452"/>
      <c r="AG69" s="452"/>
      <c r="AH69" s="452"/>
      <c r="AI69" s="452"/>
      <c r="AJ69" s="452"/>
      <c r="AK69" s="452"/>
    </row>
    <row r="70" spans="1:60" ht="13.5" thickBot="1">
      <c r="A70" s="452"/>
      <c r="B70" s="451" t="s">
        <v>517</v>
      </c>
      <c r="C70" s="515" t="s">
        <v>276</v>
      </c>
      <c r="D70" s="449"/>
      <c r="E70" s="448"/>
      <c r="F70" s="447"/>
      <c r="G70" s="901"/>
      <c r="H70" s="446"/>
      <c r="I70" s="445"/>
      <c r="J70" s="445"/>
      <c r="K70" s="445"/>
      <c r="L70" s="444"/>
      <c r="M70" s="452"/>
      <c r="N70" s="452"/>
      <c r="O70" s="452"/>
      <c r="P70" s="452"/>
      <c r="Q70" s="452"/>
      <c r="R70" s="452"/>
      <c r="S70" s="452"/>
      <c r="T70" s="452"/>
      <c r="U70" s="452"/>
      <c r="V70" s="452"/>
      <c r="W70" s="452"/>
      <c r="X70" s="452"/>
      <c r="Y70" s="452"/>
      <c r="Z70" s="452"/>
      <c r="AA70" s="452"/>
      <c r="AB70" s="452"/>
      <c r="AC70" s="452"/>
      <c r="AD70" s="452"/>
      <c r="AE70" s="452"/>
      <c r="AF70" s="452"/>
      <c r="AG70" s="452"/>
      <c r="AH70" s="452"/>
      <c r="AI70" s="452"/>
      <c r="AJ70" s="452"/>
      <c r="AK70" s="452"/>
    </row>
    <row r="71" spans="1:60">
      <c r="A71" s="452"/>
      <c r="B71" s="452"/>
      <c r="C71" s="452"/>
      <c r="D71" s="452"/>
      <c r="E71" s="452"/>
      <c r="F71" s="452"/>
      <c r="G71" s="452"/>
      <c r="H71" s="508"/>
      <c r="I71" s="508"/>
      <c r="J71" s="508"/>
      <c r="K71" s="508"/>
      <c r="L71" s="508"/>
      <c r="M71" s="452"/>
      <c r="N71" s="452"/>
      <c r="O71" s="452"/>
      <c r="P71" s="452"/>
      <c r="Q71" s="452"/>
      <c r="R71" s="452"/>
      <c r="S71" s="452"/>
      <c r="T71" s="452"/>
      <c r="U71" s="452"/>
      <c r="V71" s="452"/>
      <c r="W71" s="452"/>
      <c r="X71" s="452"/>
      <c r="Y71" s="452"/>
      <c r="Z71" s="452"/>
      <c r="AA71" s="452"/>
      <c r="AB71" s="452"/>
      <c r="AC71" s="452"/>
      <c r="AD71" s="452"/>
      <c r="AE71" s="452"/>
      <c r="AF71" s="452"/>
      <c r="AG71" s="452"/>
      <c r="AH71" s="452"/>
      <c r="AI71" s="452"/>
      <c r="AJ71" s="452"/>
      <c r="AK71" s="452"/>
    </row>
    <row r="72" spans="1:60" ht="13.5" thickBot="1">
      <c r="A72" s="452"/>
      <c r="B72" s="452"/>
      <c r="C72" s="456"/>
      <c r="D72" s="456"/>
      <c r="E72" s="456"/>
      <c r="F72" s="456"/>
      <c r="G72" s="456"/>
      <c r="H72" s="520"/>
      <c r="I72" s="456"/>
      <c r="J72" s="456"/>
      <c r="K72" s="456"/>
      <c r="L72" s="456"/>
      <c r="M72" s="456"/>
      <c r="N72" s="456"/>
      <c r="O72" s="456"/>
      <c r="P72" s="456"/>
      <c r="Q72" s="456"/>
      <c r="R72" s="456"/>
      <c r="S72" s="456"/>
      <c r="T72" s="456"/>
      <c r="U72" s="456"/>
      <c r="V72" s="456"/>
      <c r="W72" s="456"/>
      <c r="X72" s="456"/>
      <c r="Y72" s="456"/>
      <c r="Z72" s="456"/>
      <c r="AA72" s="456"/>
      <c r="AB72" s="456"/>
      <c r="AC72" s="456"/>
      <c r="AD72" s="456"/>
      <c r="AE72" s="456"/>
      <c r="AF72" s="456"/>
      <c r="AG72" s="456"/>
      <c r="AH72" s="456"/>
      <c r="AI72" s="456"/>
      <c r="AJ72" s="456"/>
      <c r="AK72" s="456"/>
    </row>
    <row r="73" spans="1:60">
      <c r="A73" s="452"/>
      <c r="B73" s="892" t="s">
        <v>367</v>
      </c>
      <c r="C73" s="507" t="s">
        <v>544</v>
      </c>
      <c r="D73" s="894" t="s">
        <v>531</v>
      </c>
      <c r="E73" s="894" t="s">
        <v>530</v>
      </c>
      <c r="F73" s="897" t="s">
        <v>529</v>
      </c>
      <c r="G73" s="506" t="s">
        <v>528</v>
      </c>
      <c r="H73" s="505">
        <v>2023</v>
      </c>
      <c r="I73" s="504">
        <f>H73+1</f>
        <v>2024</v>
      </c>
      <c r="J73" s="504">
        <f>I73+1</f>
        <v>2025</v>
      </c>
      <c r="K73" s="504">
        <f t="shared" ref="K73:AI73" si="38">J73+1</f>
        <v>2026</v>
      </c>
      <c r="L73" s="504">
        <f t="shared" si="38"/>
        <v>2027</v>
      </c>
      <c r="M73" s="504">
        <f t="shared" si="38"/>
        <v>2028</v>
      </c>
      <c r="N73" s="504">
        <f t="shared" si="38"/>
        <v>2029</v>
      </c>
      <c r="O73" s="504">
        <f t="shared" si="38"/>
        <v>2030</v>
      </c>
      <c r="P73" s="504">
        <f t="shared" si="38"/>
        <v>2031</v>
      </c>
      <c r="Q73" s="504">
        <f t="shared" si="38"/>
        <v>2032</v>
      </c>
      <c r="R73" s="504">
        <f t="shared" si="38"/>
        <v>2033</v>
      </c>
      <c r="S73" s="504">
        <f t="shared" si="38"/>
        <v>2034</v>
      </c>
      <c r="T73" s="504">
        <f t="shared" si="38"/>
        <v>2035</v>
      </c>
      <c r="U73" s="504">
        <f t="shared" si="38"/>
        <v>2036</v>
      </c>
      <c r="V73" s="504">
        <f t="shared" si="38"/>
        <v>2037</v>
      </c>
      <c r="W73" s="504">
        <f t="shared" si="38"/>
        <v>2038</v>
      </c>
      <c r="X73" s="504">
        <f t="shared" si="38"/>
        <v>2039</v>
      </c>
      <c r="Y73" s="504">
        <f t="shared" si="38"/>
        <v>2040</v>
      </c>
      <c r="Z73" s="504">
        <f t="shared" si="38"/>
        <v>2041</v>
      </c>
      <c r="AA73" s="504">
        <f t="shared" si="38"/>
        <v>2042</v>
      </c>
      <c r="AB73" s="504">
        <f t="shared" si="38"/>
        <v>2043</v>
      </c>
      <c r="AC73" s="504">
        <f t="shared" si="38"/>
        <v>2044</v>
      </c>
      <c r="AD73" s="504">
        <f t="shared" si="38"/>
        <v>2045</v>
      </c>
      <c r="AE73" s="504">
        <f t="shared" si="38"/>
        <v>2046</v>
      </c>
      <c r="AF73" s="504">
        <f t="shared" si="38"/>
        <v>2047</v>
      </c>
      <c r="AG73" s="504">
        <f t="shared" si="38"/>
        <v>2048</v>
      </c>
      <c r="AH73" s="504">
        <f t="shared" si="38"/>
        <v>2049</v>
      </c>
      <c r="AI73" s="504">
        <f t="shared" si="38"/>
        <v>2050</v>
      </c>
      <c r="AJ73" s="504">
        <f>AI73+1</f>
        <v>2051</v>
      </c>
      <c r="AK73" s="504">
        <f>AJ73+1</f>
        <v>2052</v>
      </c>
    </row>
    <row r="74" spans="1:60">
      <c r="A74" s="452"/>
      <c r="B74" s="893"/>
      <c r="C74" s="503" t="s">
        <v>534</v>
      </c>
      <c r="D74" s="895"/>
      <c r="E74" s="895"/>
      <c r="F74" s="898"/>
      <c r="G74" s="502" t="s">
        <v>526</v>
      </c>
      <c r="H74" s="501"/>
      <c r="I74" s="501"/>
      <c r="J74" s="501"/>
      <c r="K74" s="501"/>
      <c r="L74" s="501">
        <v>5</v>
      </c>
      <c r="M74" s="501">
        <v>10</v>
      </c>
      <c r="N74" s="501">
        <v>10</v>
      </c>
      <c r="O74" s="501">
        <v>10</v>
      </c>
      <c r="P74" s="501">
        <v>10</v>
      </c>
      <c r="Q74" s="501">
        <v>10</v>
      </c>
      <c r="R74" s="501">
        <v>10</v>
      </c>
      <c r="S74" s="501">
        <v>10</v>
      </c>
      <c r="T74" s="501">
        <v>10</v>
      </c>
      <c r="U74" s="501">
        <v>10</v>
      </c>
      <c r="V74" s="501">
        <v>10</v>
      </c>
      <c r="W74" s="501">
        <v>10</v>
      </c>
      <c r="X74" s="501">
        <v>10</v>
      </c>
      <c r="Y74" s="501">
        <v>10</v>
      </c>
      <c r="Z74" s="501">
        <v>10</v>
      </c>
      <c r="AA74" s="501">
        <v>10</v>
      </c>
      <c r="AB74" s="501">
        <v>10</v>
      </c>
      <c r="AC74" s="501">
        <v>10</v>
      </c>
      <c r="AD74" s="501">
        <v>10</v>
      </c>
      <c r="AE74" s="501">
        <v>10</v>
      </c>
      <c r="AF74" s="501">
        <v>10</v>
      </c>
      <c r="AG74" s="501">
        <v>10</v>
      </c>
      <c r="AH74" s="501">
        <v>10</v>
      </c>
      <c r="AI74" s="501">
        <v>10</v>
      </c>
      <c r="AJ74" s="501">
        <v>10</v>
      </c>
      <c r="AK74" s="501">
        <v>10</v>
      </c>
    </row>
    <row r="75" spans="1:60" ht="13.5" thickBot="1">
      <c r="A75" s="452"/>
      <c r="B75" s="500" t="s">
        <v>525</v>
      </c>
      <c r="C75" s="499">
        <f>355*1000</f>
        <v>355000</v>
      </c>
      <c r="D75" s="896"/>
      <c r="E75" s="896"/>
      <c r="F75" s="899"/>
      <c r="G75" s="498" t="s">
        <v>524</v>
      </c>
      <c r="H75" s="497"/>
      <c r="I75" s="497"/>
      <c r="J75" s="497"/>
      <c r="K75" s="497"/>
      <c r="L75" s="497">
        <v>5</v>
      </c>
      <c r="M75" s="497">
        <v>10</v>
      </c>
      <c r="N75" s="497">
        <v>10</v>
      </c>
      <c r="O75" s="497">
        <v>10</v>
      </c>
      <c r="P75" s="497">
        <v>10</v>
      </c>
      <c r="Q75" s="497">
        <v>10</v>
      </c>
      <c r="R75" s="497">
        <v>10</v>
      </c>
      <c r="S75" s="497">
        <v>10</v>
      </c>
      <c r="T75" s="497">
        <v>10</v>
      </c>
      <c r="U75" s="497">
        <v>10</v>
      </c>
      <c r="V75" s="497">
        <v>10</v>
      </c>
      <c r="W75" s="497">
        <v>10</v>
      </c>
      <c r="X75" s="497">
        <v>10</v>
      </c>
      <c r="Y75" s="497">
        <v>10</v>
      </c>
      <c r="Z75" s="497">
        <v>10</v>
      </c>
      <c r="AA75" s="497">
        <v>10</v>
      </c>
      <c r="AB75" s="497">
        <v>10</v>
      </c>
      <c r="AC75" s="497">
        <v>10</v>
      </c>
      <c r="AD75" s="497">
        <v>10</v>
      </c>
      <c r="AE75" s="497">
        <v>10</v>
      </c>
      <c r="AF75" s="497">
        <v>10</v>
      </c>
      <c r="AG75" s="497">
        <v>10</v>
      </c>
      <c r="AH75" s="497">
        <v>10</v>
      </c>
      <c r="AI75" s="497">
        <v>10</v>
      </c>
      <c r="AJ75" s="497">
        <v>10</v>
      </c>
      <c r="AK75" s="497">
        <v>10</v>
      </c>
    </row>
    <row r="76" spans="1:60">
      <c r="A76" s="452"/>
      <c r="B76" s="496" t="s">
        <v>523</v>
      </c>
      <c r="C76" s="495" t="s">
        <v>276</v>
      </c>
      <c r="D76" s="613"/>
      <c r="E76" s="613"/>
      <c r="F76" s="614"/>
      <c r="G76" s="900"/>
      <c r="H76" s="615"/>
      <c r="I76" s="61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7"/>
    </row>
    <row r="77" spans="1:60">
      <c r="A77" s="452"/>
      <c r="B77" s="477" t="s">
        <v>522</v>
      </c>
      <c r="C77" s="476" t="s">
        <v>276</v>
      </c>
      <c r="D77" s="478">
        <v>2.2000000000000002</v>
      </c>
      <c r="E77" s="618">
        <f>C75</f>
        <v>355000</v>
      </c>
      <c r="F77" s="593">
        <f>D77*E77</f>
        <v>781000.00000000012</v>
      </c>
      <c r="G77" s="900"/>
      <c r="H77" s="563">
        <f>$F$77*H74</f>
        <v>0</v>
      </c>
      <c r="I77" s="576">
        <f t="shared" ref="I77:AK77" si="39">$F$77*I74</f>
        <v>0</v>
      </c>
      <c r="J77" s="576">
        <f t="shared" si="39"/>
        <v>0</v>
      </c>
      <c r="K77" s="576">
        <f t="shared" si="39"/>
        <v>0</v>
      </c>
      <c r="L77" s="576">
        <f t="shared" si="39"/>
        <v>3905000.0000000005</v>
      </c>
      <c r="M77" s="576">
        <f t="shared" si="39"/>
        <v>7810000.0000000009</v>
      </c>
      <c r="N77" s="576">
        <f t="shared" si="39"/>
        <v>7810000.0000000009</v>
      </c>
      <c r="O77" s="576">
        <f t="shared" si="39"/>
        <v>7810000.0000000009</v>
      </c>
      <c r="P77" s="576">
        <f t="shared" si="39"/>
        <v>7810000.0000000009</v>
      </c>
      <c r="Q77" s="576">
        <f t="shared" si="39"/>
        <v>7810000.0000000009</v>
      </c>
      <c r="R77" s="576">
        <f t="shared" si="39"/>
        <v>7810000.0000000009</v>
      </c>
      <c r="S77" s="576">
        <f t="shared" si="39"/>
        <v>7810000.0000000009</v>
      </c>
      <c r="T77" s="576">
        <f t="shared" si="39"/>
        <v>7810000.0000000009</v>
      </c>
      <c r="U77" s="576">
        <f t="shared" si="39"/>
        <v>7810000.0000000009</v>
      </c>
      <c r="V77" s="576">
        <f t="shared" si="39"/>
        <v>7810000.0000000009</v>
      </c>
      <c r="W77" s="576">
        <f t="shared" si="39"/>
        <v>7810000.0000000009</v>
      </c>
      <c r="X77" s="576">
        <f t="shared" si="39"/>
        <v>7810000.0000000009</v>
      </c>
      <c r="Y77" s="576">
        <f t="shared" si="39"/>
        <v>7810000.0000000009</v>
      </c>
      <c r="Z77" s="576">
        <f t="shared" si="39"/>
        <v>7810000.0000000009</v>
      </c>
      <c r="AA77" s="576">
        <f t="shared" si="39"/>
        <v>7810000.0000000009</v>
      </c>
      <c r="AB77" s="576">
        <f t="shared" si="39"/>
        <v>7810000.0000000009</v>
      </c>
      <c r="AC77" s="576">
        <f t="shared" si="39"/>
        <v>7810000.0000000009</v>
      </c>
      <c r="AD77" s="576">
        <f t="shared" si="39"/>
        <v>7810000.0000000009</v>
      </c>
      <c r="AE77" s="576">
        <f t="shared" si="39"/>
        <v>7810000.0000000009</v>
      </c>
      <c r="AF77" s="576">
        <f t="shared" si="39"/>
        <v>7810000.0000000009</v>
      </c>
      <c r="AG77" s="576">
        <f t="shared" si="39"/>
        <v>7810000.0000000009</v>
      </c>
      <c r="AH77" s="576">
        <f t="shared" si="39"/>
        <v>7810000.0000000009</v>
      </c>
      <c r="AI77" s="576">
        <f t="shared" si="39"/>
        <v>7810000.0000000009</v>
      </c>
      <c r="AJ77" s="576">
        <f t="shared" si="39"/>
        <v>7810000.0000000009</v>
      </c>
      <c r="AK77" s="577">
        <f t="shared" si="39"/>
        <v>7810000.0000000009</v>
      </c>
    </row>
    <row r="78" spans="1:60">
      <c r="A78" s="452"/>
      <c r="B78" s="477" t="s">
        <v>521</v>
      </c>
      <c r="C78" s="476" t="s">
        <v>276</v>
      </c>
      <c r="D78" s="475">
        <v>0.64</v>
      </c>
      <c r="E78" s="474">
        <f>C75</f>
        <v>355000</v>
      </c>
      <c r="F78" s="473">
        <f>D78*E78</f>
        <v>227200</v>
      </c>
      <c r="G78" s="900"/>
      <c r="H78" s="563">
        <f>$F$78*H74</f>
        <v>0</v>
      </c>
      <c r="I78" s="576">
        <f t="shared" ref="I78:AK78" si="40">$F$78*I74</f>
        <v>0</v>
      </c>
      <c r="J78" s="576">
        <f t="shared" si="40"/>
        <v>0</v>
      </c>
      <c r="K78" s="576">
        <f t="shared" si="40"/>
        <v>0</v>
      </c>
      <c r="L78" s="576">
        <f t="shared" si="40"/>
        <v>1136000</v>
      </c>
      <c r="M78" s="576">
        <f t="shared" si="40"/>
        <v>2272000</v>
      </c>
      <c r="N78" s="576">
        <f t="shared" si="40"/>
        <v>2272000</v>
      </c>
      <c r="O78" s="576">
        <f t="shared" si="40"/>
        <v>2272000</v>
      </c>
      <c r="P78" s="576">
        <f t="shared" si="40"/>
        <v>2272000</v>
      </c>
      <c r="Q78" s="576">
        <f t="shared" si="40"/>
        <v>2272000</v>
      </c>
      <c r="R78" s="576">
        <f t="shared" si="40"/>
        <v>2272000</v>
      </c>
      <c r="S78" s="576">
        <f t="shared" si="40"/>
        <v>2272000</v>
      </c>
      <c r="T78" s="576">
        <f t="shared" si="40"/>
        <v>2272000</v>
      </c>
      <c r="U78" s="576">
        <f t="shared" si="40"/>
        <v>2272000</v>
      </c>
      <c r="V78" s="576">
        <f t="shared" si="40"/>
        <v>2272000</v>
      </c>
      <c r="W78" s="576">
        <f t="shared" si="40"/>
        <v>2272000</v>
      </c>
      <c r="X78" s="576">
        <f t="shared" si="40"/>
        <v>2272000</v>
      </c>
      <c r="Y78" s="576">
        <f t="shared" si="40"/>
        <v>2272000</v>
      </c>
      <c r="Z78" s="576">
        <f t="shared" si="40"/>
        <v>2272000</v>
      </c>
      <c r="AA78" s="576">
        <f t="shared" si="40"/>
        <v>2272000</v>
      </c>
      <c r="AB78" s="576">
        <f t="shared" si="40"/>
        <v>2272000</v>
      </c>
      <c r="AC78" s="576">
        <f t="shared" si="40"/>
        <v>2272000</v>
      </c>
      <c r="AD78" s="576">
        <f t="shared" si="40"/>
        <v>2272000</v>
      </c>
      <c r="AE78" s="576">
        <f t="shared" si="40"/>
        <v>2272000</v>
      </c>
      <c r="AF78" s="576">
        <f t="shared" si="40"/>
        <v>2272000</v>
      </c>
      <c r="AG78" s="576">
        <f t="shared" si="40"/>
        <v>2272000</v>
      </c>
      <c r="AH78" s="576">
        <f t="shared" si="40"/>
        <v>2272000</v>
      </c>
      <c r="AI78" s="576">
        <f t="shared" si="40"/>
        <v>2272000</v>
      </c>
      <c r="AJ78" s="576">
        <f t="shared" si="40"/>
        <v>2272000</v>
      </c>
      <c r="AK78" s="577">
        <f t="shared" si="40"/>
        <v>2272000</v>
      </c>
    </row>
    <row r="79" spans="1:60">
      <c r="A79" s="485"/>
      <c r="B79" s="477" t="s">
        <v>284</v>
      </c>
      <c r="C79" s="476" t="s">
        <v>276</v>
      </c>
      <c r="D79" s="484"/>
      <c r="E79" s="483"/>
      <c r="F79" s="482"/>
      <c r="G79" s="900"/>
      <c r="H79" s="481"/>
      <c r="I79" s="480"/>
      <c r="J79" s="480"/>
      <c r="K79" s="480"/>
      <c r="L79" s="480"/>
      <c r="M79" s="480"/>
      <c r="N79" s="480"/>
      <c r="O79" s="480"/>
      <c r="P79" s="480"/>
      <c r="Q79" s="480"/>
      <c r="R79" s="480"/>
      <c r="S79" s="480"/>
      <c r="T79" s="480"/>
      <c r="U79" s="480"/>
      <c r="V79" s="480"/>
      <c r="W79" s="480"/>
      <c r="X79" s="480"/>
      <c r="Y79" s="480"/>
      <c r="Z79" s="480"/>
      <c r="AA79" s="480"/>
      <c r="AB79" s="480"/>
      <c r="AC79" s="480"/>
      <c r="AD79" s="480"/>
      <c r="AE79" s="480"/>
      <c r="AF79" s="480"/>
      <c r="AG79" s="480"/>
      <c r="AH79" s="480"/>
      <c r="AI79" s="480"/>
      <c r="AJ79" s="480"/>
      <c r="AK79" s="479"/>
      <c r="AL79" s="429"/>
    </row>
    <row r="80" spans="1:60">
      <c r="A80" s="452"/>
      <c r="B80" s="477" t="s">
        <v>287</v>
      </c>
      <c r="C80" s="476" t="s">
        <v>276</v>
      </c>
      <c r="D80" s="484"/>
      <c r="E80" s="483"/>
      <c r="F80" s="482"/>
      <c r="G80" s="900"/>
      <c r="H80" s="481"/>
      <c r="I80" s="480"/>
      <c r="J80" s="480"/>
      <c r="K80" s="480"/>
      <c r="L80" s="480"/>
      <c r="M80" s="480"/>
      <c r="N80" s="480"/>
      <c r="O80" s="480"/>
      <c r="P80" s="480"/>
      <c r="Q80" s="480"/>
      <c r="R80" s="480"/>
      <c r="S80" s="480"/>
      <c r="T80" s="480"/>
      <c r="U80" s="480"/>
      <c r="V80" s="480"/>
      <c r="W80" s="480"/>
      <c r="X80" s="480"/>
      <c r="Y80" s="480"/>
      <c r="Z80" s="480"/>
      <c r="AA80" s="480"/>
      <c r="AB80" s="480"/>
      <c r="AC80" s="480"/>
      <c r="AD80" s="480"/>
      <c r="AE80" s="480"/>
      <c r="AF80" s="480"/>
      <c r="AG80" s="480"/>
      <c r="AH80" s="480"/>
      <c r="AI80" s="480"/>
      <c r="AJ80" s="480"/>
      <c r="AK80" s="479"/>
      <c r="AN80" s="429"/>
      <c r="AO80" s="429"/>
      <c r="BC80" s="429"/>
      <c r="BD80" s="429"/>
      <c r="BE80" s="429"/>
      <c r="BF80" s="429"/>
      <c r="BG80" s="429"/>
      <c r="BH80" s="429"/>
    </row>
    <row r="81" spans="1:60">
      <c r="A81" s="452"/>
      <c r="B81" s="477" t="s">
        <v>520</v>
      </c>
      <c r="C81" s="476" t="s">
        <v>276</v>
      </c>
      <c r="D81" s="548">
        <v>0.36</v>
      </c>
      <c r="E81" s="619">
        <f>C75</f>
        <v>355000</v>
      </c>
      <c r="F81" s="620">
        <f>D81*E81</f>
        <v>127800</v>
      </c>
      <c r="G81" s="900"/>
      <c r="H81" s="472">
        <f>$F$81*H74</f>
        <v>0</v>
      </c>
      <c r="I81" s="471">
        <f t="shared" ref="I81:AK81" si="41">$F$81*I74</f>
        <v>0</v>
      </c>
      <c r="J81" s="471">
        <f t="shared" si="41"/>
        <v>0</v>
      </c>
      <c r="K81" s="471">
        <f t="shared" si="41"/>
        <v>0</v>
      </c>
      <c r="L81" s="471">
        <f t="shared" si="41"/>
        <v>639000</v>
      </c>
      <c r="M81" s="471">
        <f t="shared" si="41"/>
        <v>1278000</v>
      </c>
      <c r="N81" s="471">
        <f t="shared" si="41"/>
        <v>1278000</v>
      </c>
      <c r="O81" s="471">
        <f t="shared" si="41"/>
        <v>1278000</v>
      </c>
      <c r="P81" s="471">
        <f t="shared" si="41"/>
        <v>1278000</v>
      </c>
      <c r="Q81" s="471">
        <f t="shared" si="41"/>
        <v>1278000</v>
      </c>
      <c r="R81" s="471">
        <f t="shared" si="41"/>
        <v>1278000</v>
      </c>
      <c r="S81" s="471">
        <f t="shared" si="41"/>
        <v>1278000</v>
      </c>
      <c r="T81" s="471">
        <f t="shared" si="41"/>
        <v>1278000</v>
      </c>
      <c r="U81" s="471">
        <f t="shared" si="41"/>
        <v>1278000</v>
      </c>
      <c r="V81" s="471">
        <f t="shared" si="41"/>
        <v>1278000</v>
      </c>
      <c r="W81" s="471">
        <f t="shared" si="41"/>
        <v>1278000</v>
      </c>
      <c r="X81" s="471">
        <f t="shared" si="41"/>
        <v>1278000</v>
      </c>
      <c r="Y81" s="471">
        <f t="shared" si="41"/>
        <v>1278000</v>
      </c>
      <c r="Z81" s="471">
        <f t="shared" si="41"/>
        <v>1278000</v>
      </c>
      <c r="AA81" s="471">
        <f t="shared" si="41"/>
        <v>1278000</v>
      </c>
      <c r="AB81" s="471">
        <f t="shared" si="41"/>
        <v>1278000</v>
      </c>
      <c r="AC81" s="471">
        <f t="shared" si="41"/>
        <v>1278000</v>
      </c>
      <c r="AD81" s="471">
        <f t="shared" si="41"/>
        <v>1278000</v>
      </c>
      <c r="AE81" s="471">
        <f t="shared" si="41"/>
        <v>1278000</v>
      </c>
      <c r="AF81" s="471">
        <f t="shared" si="41"/>
        <v>1278000</v>
      </c>
      <c r="AG81" s="471">
        <f t="shared" si="41"/>
        <v>1278000</v>
      </c>
      <c r="AH81" s="471">
        <f t="shared" si="41"/>
        <v>1278000</v>
      </c>
      <c r="AI81" s="471">
        <f t="shared" si="41"/>
        <v>1278000</v>
      </c>
      <c r="AJ81" s="471">
        <f t="shared" si="41"/>
        <v>1278000</v>
      </c>
      <c r="AK81" s="470">
        <f t="shared" si="41"/>
        <v>1278000</v>
      </c>
      <c r="AP81" s="429"/>
      <c r="AQ81" s="429"/>
      <c r="AR81" s="429"/>
      <c r="AS81" s="429"/>
      <c r="AT81" s="429"/>
      <c r="AU81" s="429"/>
      <c r="AV81" s="429"/>
      <c r="AW81" s="429"/>
      <c r="AX81" s="429"/>
      <c r="AY81" s="429"/>
      <c r="AZ81" s="429"/>
      <c r="BA81" s="429"/>
      <c r="BB81" s="429"/>
    </row>
    <row r="82" spans="1:60" s="429" customFormat="1">
      <c r="A82" s="452"/>
      <c r="B82" s="477" t="s">
        <v>330</v>
      </c>
      <c r="C82" s="476" t="s">
        <v>276</v>
      </c>
      <c r="D82" s="475">
        <v>1.84</v>
      </c>
      <c r="E82" s="474">
        <f>C75</f>
        <v>355000</v>
      </c>
      <c r="F82" s="473">
        <f t="shared" ref="F82:F83" si="42">D82*E82</f>
        <v>653200</v>
      </c>
      <c r="G82" s="900"/>
      <c r="H82" s="563">
        <f>$F$82*H74</f>
        <v>0</v>
      </c>
      <c r="I82" s="576">
        <f t="shared" ref="I82:AK82" si="43">$F$82*I74</f>
        <v>0</v>
      </c>
      <c r="J82" s="576">
        <f t="shared" si="43"/>
        <v>0</v>
      </c>
      <c r="K82" s="576">
        <f t="shared" si="43"/>
        <v>0</v>
      </c>
      <c r="L82" s="576">
        <f t="shared" si="43"/>
        <v>3266000</v>
      </c>
      <c r="M82" s="576">
        <f t="shared" si="43"/>
        <v>6532000</v>
      </c>
      <c r="N82" s="576">
        <f t="shared" si="43"/>
        <v>6532000</v>
      </c>
      <c r="O82" s="576">
        <f t="shared" si="43"/>
        <v>6532000</v>
      </c>
      <c r="P82" s="576">
        <f t="shared" si="43"/>
        <v>6532000</v>
      </c>
      <c r="Q82" s="576">
        <f t="shared" si="43"/>
        <v>6532000</v>
      </c>
      <c r="R82" s="576">
        <f t="shared" si="43"/>
        <v>6532000</v>
      </c>
      <c r="S82" s="576">
        <f t="shared" si="43"/>
        <v>6532000</v>
      </c>
      <c r="T82" s="576">
        <f t="shared" si="43"/>
        <v>6532000</v>
      </c>
      <c r="U82" s="576">
        <f t="shared" si="43"/>
        <v>6532000</v>
      </c>
      <c r="V82" s="576">
        <f t="shared" si="43"/>
        <v>6532000</v>
      </c>
      <c r="W82" s="576">
        <f t="shared" si="43"/>
        <v>6532000</v>
      </c>
      <c r="X82" s="576">
        <f t="shared" si="43"/>
        <v>6532000</v>
      </c>
      <c r="Y82" s="576">
        <f t="shared" si="43"/>
        <v>6532000</v>
      </c>
      <c r="Z82" s="576">
        <f t="shared" si="43"/>
        <v>6532000</v>
      </c>
      <c r="AA82" s="576">
        <f t="shared" si="43"/>
        <v>6532000</v>
      </c>
      <c r="AB82" s="576">
        <f t="shared" si="43"/>
        <v>6532000</v>
      </c>
      <c r="AC82" s="576">
        <f t="shared" si="43"/>
        <v>6532000</v>
      </c>
      <c r="AD82" s="576">
        <f t="shared" si="43"/>
        <v>6532000</v>
      </c>
      <c r="AE82" s="576">
        <f t="shared" si="43"/>
        <v>6532000</v>
      </c>
      <c r="AF82" s="576">
        <f t="shared" si="43"/>
        <v>6532000</v>
      </c>
      <c r="AG82" s="576">
        <f t="shared" si="43"/>
        <v>6532000</v>
      </c>
      <c r="AH82" s="576">
        <f t="shared" si="43"/>
        <v>6532000</v>
      </c>
      <c r="AI82" s="576">
        <f t="shared" si="43"/>
        <v>6532000</v>
      </c>
      <c r="AJ82" s="576">
        <f t="shared" si="43"/>
        <v>6532000</v>
      </c>
      <c r="AK82" s="577">
        <f t="shared" si="43"/>
        <v>6532000</v>
      </c>
      <c r="AL82" s="428"/>
      <c r="AM82" s="428"/>
      <c r="AN82" s="428"/>
      <c r="AO82" s="428"/>
      <c r="AP82" s="428"/>
      <c r="AQ82" s="428"/>
      <c r="AR82" s="428"/>
      <c r="AS82" s="428"/>
      <c r="AT82" s="428"/>
      <c r="AU82" s="428"/>
      <c r="AV82" s="428"/>
      <c r="AW82" s="428"/>
      <c r="AX82" s="428"/>
      <c r="AY82" s="428"/>
      <c r="AZ82" s="428"/>
      <c r="BA82" s="428"/>
      <c r="BB82" s="428"/>
      <c r="BC82" s="428"/>
      <c r="BD82" s="428"/>
      <c r="BE82" s="428"/>
      <c r="BF82" s="428"/>
      <c r="BG82" s="428"/>
      <c r="BH82" s="428"/>
    </row>
    <row r="83" spans="1:60">
      <c r="A83" s="452"/>
      <c r="B83" s="477" t="s">
        <v>331</v>
      </c>
      <c r="C83" s="476" t="s">
        <v>276</v>
      </c>
      <c r="D83" s="475">
        <v>1.93</v>
      </c>
      <c r="E83" s="474">
        <f>C75</f>
        <v>355000</v>
      </c>
      <c r="F83" s="473">
        <f t="shared" si="42"/>
        <v>685150</v>
      </c>
      <c r="G83" s="900"/>
      <c r="H83" s="566">
        <f>$F$83*H74</f>
        <v>0</v>
      </c>
      <c r="I83" s="584">
        <f t="shared" ref="I83:AK83" si="44">$F$83*I74</f>
        <v>0</v>
      </c>
      <c r="J83" s="584">
        <f t="shared" si="44"/>
        <v>0</v>
      </c>
      <c r="K83" s="584">
        <f t="shared" si="44"/>
        <v>0</v>
      </c>
      <c r="L83" s="584">
        <f t="shared" si="44"/>
        <v>3425750</v>
      </c>
      <c r="M83" s="584">
        <f t="shared" si="44"/>
        <v>6851500</v>
      </c>
      <c r="N83" s="584">
        <f t="shared" si="44"/>
        <v>6851500</v>
      </c>
      <c r="O83" s="584">
        <f t="shared" si="44"/>
        <v>6851500</v>
      </c>
      <c r="P83" s="584">
        <f t="shared" si="44"/>
        <v>6851500</v>
      </c>
      <c r="Q83" s="584">
        <f t="shared" si="44"/>
        <v>6851500</v>
      </c>
      <c r="R83" s="584">
        <f t="shared" si="44"/>
        <v>6851500</v>
      </c>
      <c r="S83" s="584">
        <f t="shared" si="44"/>
        <v>6851500</v>
      </c>
      <c r="T83" s="584">
        <f t="shared" si="44"/>
        <v>6851500</v>
      </c>
      <c r="U83" s="584">
        <f t="shared" si="44"/>
        <v>6851500</v>
      </c>
      <c r="V83" s="584">
        <f t="shared" si="44"/>
        <v>6851500</v>
      </c>
      <c r="W83" s="584">
        <f t="shared" si="44"/>
        <v>6851500</v>
      </c>
      <c r="X83" s="584">
        <f t="shared" si="44"/>
        <v>6851500</v>
      </c>
      <c r="Y83" s="584">
        <f t="shared" si="44"/>
        <v>6851500</v>
      </c>
      <c r="Z83" s="584">
        <f t="shared" si="44"/>
        <v>6851500</v>
      </c>
      <c r="AA83" s="584">
        <f t="shared" si="44"/>
        <v>6851500</v>
      </c>
      <c r="AB83" s="584">
        <f t="shared" si="44"/>
        <v>6851500</v>
      </c>
      <c r="AC83" s="584">
        <f t="shared" si="44"/>
        <v>6851500</v>
      </c>
      <c r="AD83" s="584">
        <f t="shared" si="44"/>
        <v>6851500</v>
      </c>
      <c r="AE83" s="584">
        <f t="shared" si="44"/>
        <v>6851500</v>
      </c>
      <c r="AF83" s="584">
        <f t="shared" si="44"/>
        <v>6851500</v>
      </c>
      <c r="AG83" s="584">
        <f t="shared" si="44"/>
        <v>6851500</v>
      </c>
      <c r="AH83" s="584">
        <f t="shared" si="44"/>
        <v>6851500</v>
      </c>
      <c r="AI83" s="584">
        <f t="shared" si="44"/>
        <v>6851500</v>
      </c>
      <c r="AJ83" s="584">
        <f t="shared" si="44"/>
        <v>6851500</v>
      </c>
      <c r="AK83" s="585">
        <f t="shared" si="44"/>
        <v>6851500</v>
      </c>
    </row>
    <row r="84" spans="1:60" ht="13.5" thickBot="1">
      <c r="A84" s="452"/>
      <c r="B84" s="586" t="s">
        <v>519</v>
      </c>
      <c r="C84" s="597" t="s">
        <v>276</v>
      </c>
      <c r="D84" s="610"/>
      <c r="E84" s="621"/>
      <c r="F84" s="622"/>
      <c r="G84" s="900"/>
      <c r="H84" s="464"/>
      <c r="I84" s="569"/>
      <c r="J84" s="569"/>
      <c r="K84" s="569"/>
      <c r="L84" s="569"/>
      <c r="M84" s="569"/>
      <c r="N84" s="569"/>
      <c r="O84" s="569"/>
      <c r="P84" s="569"/>
      <c r="Q84" s="569"/>
      <c r="R84" s="569"/>
      <c r="S84" s="569"/>
      <c r="T84" s="569"/>
      <c r="U84" s="569"/>
      <c r="V84" s="569"/>
      <c r="W84" s="569"/>
      <c r="X84" s="569"/>
      <c r="Y84" s="569"/>
      <c r="Z84" s="569"/>
      <c r="AA84" s="569"/>
      <c r="AB84" s="569"/>
      <c r="AC84" s="569"/>
      <c r="AD84" s="569"/>
      <c r="AE84" s="569"/>
      <c r="AF84" s="569"/>
      <c r="AG84" s="569"/>
      <c r="AH84" s="569"/>
      <c r="AI84" s="569"/>
      <c r="AJ84" s="569"/>
      <c r="AK84" s="570"/>
      <c r="AL84" s="623"/>
    </row>
    <row r="85" spans="1:60" ht="13.5" thickTop="1">
      <c r="A85" s="452"/>
      <c r="B85" s="461" t="s">
        <v>518</v>
      </c>
      <c r="C85" s="590" t="s">
        <v>276</v>
      </c>
      <c r="D85" s="459">
        <v>1.1200000000000001</v>
      </c>
      <c r="E85" s="458">
        <f>C75</f>
        <v>355000</v>
      </c>
      <c r="F85" s="457">
        <f t="shared" ref="F85" si="45">D85*E85</f>
        <v>397600.00000000006</v>
      </c>
      <c r="G85" s="900"/>
      <c r="H85" s="455">
        <f t="shared" ref="H85:AK85" si="46">$F$85*H74</f>
        <v>0</v>
      </c>
      <c r="I85" s="454">
        <f t="shared" si="46"/>
        <v>0</v>
      </c>
      <c r="J85" s="454">
        <f t="shared" si="46"/>
        <v>0</v>
      </c>
      <c r="K85" s="454">
        <f t="shared" si="46"/>
        <v>0</v>
      </c>
      <c r="L85" s="454">
        <f t="shared" si="46"/>
        <v>1988000.0000000002</v>
      </c>
      <c r="M85" s="454">
        <f t="shared" si="46"/>
        <v>3976000.0000000005</v>
      </c>
      <c r="N85" s="454">
        <f t="shared" si="46"/>
        <v>3976000.0000000005</v>
      </c>
      <c r="O85" s="454">
        <f t="shared" si="46"/>
        <v>3976000.0000000005</v>
      </c>
      <c r="P85" s="454">
        <f t="shared" si="46"/>
        <v>3976000.0000000005</v>
      </c>
      <c r="Q85" s="454">
        <f t="shared" si="46"/>
        <v>3976000.0000000005</v>
      </c>
      <c r="R85" s="454">
        <f t="shared" si="46"/>
        <v>3976000.0000000005</v>
      </c>
      <c r="S85" s="454">
        <f t="shared" si="46"/>
        <v>3976000.0000000005</v>
      </c>
      <c r="T85" s="454">
        <f t="shared" si="46"/>
        <v>3976000.0000000005</v>
      </c>
      <c r="U85" s="454">
        <f t="shared" si="46"/>
        <v>3976000.0000000005</v>
      </c>
      <c r="V85" s="454">
        <f t="shared" si="46"/>
        <v>3976000.0000000005</v>
      </c>
      <c r="W85" s="454">
        <f t="shared" si="46"/>
        <v>3976000.0000000005</v>
      </c>
      <c r="X85" s="454">
        <f t="shared" si="46"/>
        <v>3976000.0000000005</v>
      </c>
      <c r="Y85" s="454">
        <f t="shared" si="46"/>
        <v>3976000.0000000005</v>
      </c>
      <c r="Z85" s="454">
        <f t="shared" si="46"/>
        <v>3976000.0000000005</v>
      </c>
      <c r="AA85" s="454">
        <f t="shared" si="46"/>
        <v>3976000.0000000005</v>
      </c>
      <c r="AB85" s="454">
        <f t="shared" si="46"/>
        <v>3976000.0000000005</v>
      </c>
      <c r="AC85" s="454">
        <f t="shared" si="46"/>
        <v>3976000.0000000005</v>
      </c>
      <c r="AD85" s="454">
        <f t="shared" si="46"/>
        <v>3976000.0000000005</v>
      </c>
      <c r="AE85" s="454">
        <f t="shared" si="46"/>
        <v>3976000.0000000005</v>
      </c>
      <c r="AF85" s="454">
        <f t="shared" si="46"/>
        <v>3976000.0000000005</v>
      </c>
      <c r="AG85" s="454">
        <f t="shared" si="46"/>
        <v>3976000.0000000005</v>
      </c>
      <c r="AH85" s="454">
        <f t="shared" si="46"/>
        <v>3976000.0000000005</v>
      </c>
      <c r="AI85" s="454">
        <f t="shared" si="46"/>
        <v>3976000.0000000005</v>
      </c>
      <c r="AJ85" s="454">
        <f t="shared" si="46"/>
        <v>3976000.0000000005</v>
      </c>
      <c r="AK85" s="453">
        <f t="shared" si="46"/>
        <v>3976000.0000000005</v>
      </c>
    </row>
    <row r="86" spans="1:60" ht="13.5" thickBot="1">
      <c r="A86" s="452"/>
      <c r="B86" s="451" t="s">
        <v>517</v>
      </c>
      <c r="C86" s="515" t="s">
        <v>276</v>
      </c>
      <c r="D86" s="591">
        <v>100000</v>
      </c>
      <c r="E86" s="591">
        <v>1</v>
      </c>
      <c r="F86" s="583">
        <f>D86*E86</f>
        <v>100000</v>
      </c>
      <c r="G86" s="901"/>
      <c r="H86" s="511">
        <f t="shared" ref="H86:K86" si="47">$F$86*H74</f>
        <v>0</v>
      </c>
      <c r="I86" s="510">
        <f t="shared" si="47"/>
        <v>0</v>
      </c>
      <c r="J86" s="510">
        <f t="shared" si="47"/>
        <v>0</v>
      </c>
      <c r="K86" s="510">
        <f t="shared" si="47"/>
        <v>0</v>
      </c>
      <c r="L86" s="510">
        <f>$F$86*L74</f>
        <v>500000</v>
      </c>
      <c r="M86" s="510">
        <f t="shared" ref="M86:AK86" si="48">$F$86*M74</f>
        <v>1000000</v>
      </c>
      <c r="N86" s="510">
        <f t="shared" si="48"/>
        <v>1000000</v>
      </c>
      <c r="O86" s="510">
        <f t="shared" si="48"/>
        <v>1000000</v>
      </c>
      <c r="P86" s="510">
        <f t="shared" si="48"/>
        <v>1000000</v>
      </c>
      <c r="Q86" s="510">
        <f t="shared" si="48"/>
        <v>1000000</v>
      </c>
      <c r="R86" s="510">
        <f t="shared" si="48"/>
        <v>1000000</v>
      </c>
      <c r="S86" s="510">
        <f t="shared" si="48"/>
        <v>1000000</v>
      </c>
      <c r="T86" s="510">
        <f t="shared" si="48"/>
        <v>1000000</v>
      </c>
      <c r="U86" s="510">
        <f t="shared" si="48"/>
        <v>1000000</v>
      </c>
      <c r="V86" s="510">
        <f t="shared" si="48"/>
        <v>1000000</v>
      </c>
      <c r="W86" s="510">
        <f t="shared" si="48"/>
        <v>1000000</v>
      </c>
      <c r="X86" s="510">
        <f t="shared" si="48"/>
        <v>1000000</v>
      </c>
      <c r="Y86" s="510">
        <f t="shared" si="48"/>
        <v>1000000</v>
      </c>
      <c r="Z86" s="510">
        <f t="shared" si="48"/>
        <v>1000000</v>
      </c>
      <c r="AA86" s="510">
        <f t="shared" si="48"/>
        <v>1000000</v>
      </c>
      <c r="AB86" s="510">
        <f t="shared" si="48"/>
        <v>1000000</v>
      </c>
      <c r="AC86" s="510">
        <f t="shared" si="48"/>
        <v>1000000</v>
      </c>
      <c r="AD86" s="510">
        <f t="shared" si="48"/>
        <v>1000000</v>
      </c>
      <c r="AE86" s="510">
        <f t="shared" si="48"/>
        <v>1000000</v>
      </c>
      <c r="AF86" s="510">
        <f t="shared" si="48"/>
        <v>1000000</v>
      </c>
      <c r="AG86" s="510">
        <f t="shared" si="48"/>
        <v>1000000</v>
      </c>
      <c r="AH86" s="510">
        <f t="shared" si="48"/>
        <v>1000000</v>
      </c>
      <c r="AI86" s="510">
        <f t="shared" si="48"/>
        <v>1000000</v>
      </c>
      <c r="AJ86" s="510">
        <f t="shared" si="48"/>
        <v>1000000</v>
      </c>
      <c r="AK86" s="509">
        <f t="shared" si="48"/>
        <v>1000000</v>
      </c>
    </row>
    <row r="87" spans="1:60">
      <c r="H87" s="443"/>
      <c r="L87" s="443"/>
      <c r="M87" s="443"/>
      <c r="N87" s="443"/>
      <c r="O87" s="443"/>
      <c r="P87" s="443"/>
      <c r="Q87" s="443"/>
      <c r="R87" s="443"/>
      <c r="S87" s="443"/>
      <c r="T87" s="443"/>
      <c r="U87" s="443"/>
      <c r="V87" s="443"/>
      <c r="W87" s="443"/>
      <c r="X87" s="443"/>
      <c r="Y87" s="443"/>
      <c r="Z87" s="443"/>
      <c r="AA87" s="443"/>
      <c r="AB87" s="443"/>
      <c r="AC87" s="443"/>
      <c r="AD87" s="443"/>
      <c r="AE87" s="443"/>
      <c r="AF87" s="443"/>
      <c r="AG87" s="443"/>
      <c r="AH87" s="443"/>
      <c r="AI87" s="443"/>
      <c r="AJ87" s="443"/>
      <c r="AK87" s="443"/>
    </row>
    <row r="88" spans="1:60">
      <c r="H88" s="443"/>
      <c r="I88" s="443"/>
      <c r="L88" s="443"/>
      <c r="M88" s="443"/>
    </row>
    <row r="89" spans="1:60">
      <c r="B89" s="432"/>
      <c r="C89" s="436"/>
      <c r="D89" s="436" t="s">
        <v>10</v>
      </c>
      <c r="E89" s="436"/>
      <c r="F89" s="436"/>
      <c r="G89" s="436"/>
      <c r="H89" s="436"/>
      <c r="I89" s="436"/>
      <c r="J89" s="436"/>
      <c r="K89" s="436"/>
      <c r="L89" s="436"/>
      <c r="M89" s="436"/>
      <c r="N89" s="436"/>
      <c r="O89" s="436"/>
      <c r="P89" s="436"/>
      <c r="Q89" s="436"/>
      <c r="R89" s="436"/>
      <c r="S89" s="436"/>
      <c r="T89" s="436"/>
      <c r="U89" s="436"/>
      <c r="V89" s="436"/>
      <c r="W89" s="436"/>
      <c r="X89" s="436"/>
      <c r="Y89" s="436"/>
      <c r="Z89" s="436"/>
      <c r="AA89" s="436"/>
      <c r="AB89" s="436"/>
      <c r="AC89" s="436"/>
      <c r="AD89" s="436"/>
      <c r="AE89" s="436"/>
      <c r="AF89" s="436"/>
      <c r="AG89" s="436"/>
      <c r="AO89" s="429"/>
    </row>
    <row r="90" spans="1:60">
      <c r="A90" s="432"/>
      <c r="B90" s="438" t="s">
        <v>57</v>
      </c>
      <c r="C90" s="438"/>
      <c r="D90" s="442">
        <v>1</v>
      </c>
      <c r="E90" s="442">
        <v>2</v>
      </c>
      <c r="F90" s="442">
        <v>3</v>
      </c>
      <c r="G90" s="442">
        <v>4</v>
      </c>
      <c r="H90" s="442">
        <v>5</v>
      </c>
      <c r="I90" s="442">
        <v>6</v>
      </c>
      <c r="J90" s="442">
        <v>7</v>
      </c>
      <c r="K90" s="442">
        <v>8</v>
      </c>
      <c r="L90" s="442">
        <v>9</v>
      </c>
      <c r="M90" s="442">
        <v>10</v>
      </c>
      <c r="N90" s="442">
        <v>11</v>
      </c>
      <c r="O90" s="442">
        <v>12</v>
      </c>
      <c r="P90" s="442">
        <v>13</v>
      </c>
      <c r="Q90" s="442">
        <v>14</v>
      </c>
      <c r="R90" s="442">
        <v>15</v>
      </c>
      <c r="S90" s="442">
        <v>16</v>
      </c>
      <c r="T90" s="442">
        <v>17</v>
      </c>
      <c r="U90" s="442">
        <v>18</v>
      </c>
      <c r="V90" s="442">
        <v>19</v>
      </c>
      <c r="W90" s="442">
        <v>20</v>
      </c>
      <c r="X90" s="442">
        <v>21</v>
      </c>
      <c r="Y90" s="442">
        <v>22</v>
      </c>
      <c r="Z90" s="442">
        <v>23</v>
      </c>
      <c r="AA90" s="442">
        <v>24</v>
      </c>
      <c r="AB90" s="442">
        <v>25</v>
      </c>
      <c r="AC90" s="442">
        <v>26</v>
      </c>
      <c r="AD90" s="442">
        <v>27</v>
      </c>
      <c r="AE90" s="442">
        <v>28</v>
      </c>
      <c r="AF90" s="442">
        <v>29</v>
      </c>
      <c r="AG90" s="442">
        <v>30</v>
      </c>
    </row>
    <row r="91" spans="1:60">
      <c r="A91" s="432"/>
      <c r="B91" s="441" t="s">
        <v>545</v>
      </c>
      <c r="C91" s="441" t="s">
        <v>9</v>
      </c>
      <c r="D91" s="440">
        <v>2023</v>
      </c>
      <c r="E91" s="440">
        <f t="shared" ref="E91:AG91" si="49">$D$91+D90</f>
        <v>2024</v>
      </c>
      <c r="F91" s="440">
        <f t="shared" si="49"/>
        <v>2025</v>
      </c>
      <c r="G91" s="440">
        <f t="shared" si="49"/>
        <v>2026</v>
      </c>
      <c r="H91" s="440">
        <f t="shared" si="49"/>
        <v>2027</v>
      </c>
      <c r="I91" s="440">
        <f t="shared" si="49"/>
        <v>2028</v>
      </c>
      <c r="J91" s="440">
        <f t="shared" si="49"/>
        <v>2029</v>
      </c>
      <c r="K91" s="440">
        <f t="shared" si="49"/>
        <v>2030</v>
      </c>
      <c r="L91" s="440">
        <f t="shared" si="49"/>
        <v>2031</v>
      </c>
      <c r="M91" s="440">
        <f t="shared" si="49"/>
        <v>2032</v>
      </c>
      <c r="N91" s="440">
        <f t="shared" si="49"/>
        <v>2033</v>
      </c>
      <c r="O91" s="440">
        <f t="shared" si="49"/>
        <v>2034</v>
      </c>
      <c r="P91" s="440">
        <f t="shared" si="49"/>
        <v>2035</v>
      </c>
      <c r="Q91" s="440">
        <f t="shared" si="49"/>
        <v>2036</v>
      </c>
      <c r="R91" s="440">
        <f t="shared" si="49"/>
        <v>2037</v>
      </c>
      <c r="S91" s="440">
        <f t="shared" si="49"/>
        <v>2038</v>
      </c>
      <c r="T91" s="440">
        <f t="shared" si="49"/>
        <v>2039</v>
      </c>
      <c r="U91" s="440">
        <f t="shared" si="49"/>
        <v>2040</v>
      </c>
      <c r="V91" s="440">
        <f t="shared" si="49"/>
        <v>2041</v>
      </c>
      <c r="W91" s="440">
        <f t="shared" si="49"/>
        <v>2042</v>
      </c>
      <c r="X91" s="440">
        <f t="shared" si="49"/>
        <v>2043</v>
      </c>
      <c r="Y91" s="440">
        <f t="shared" si="49"/>
        <v>2044</v>
      </c>
      <c r="Z91" s="440">
        <f t="shared" si="49"/>
        <v>2045</v>
      </c>
      <c r="AA91" s="440">
        <f t="shared" si="49"/>
        <v>2046</v>
      </c>
      <c r="AB91" s="440">
        <f t="shared" si="49"/>
        <v>2047</v>
      </c>
      <c r="AC91" s="440">
        <f t="shared" si="49"/>
        <v>2048</v>
      </c>
      <c r="AD91" s="440">
        <f t="shared" si="49"/>
        <v>2049</v>
      </c>
      <c r="AE91" s="440">
        <f t="shared" si="49"/>
        <v>2050</v>
      </c>
      <c r="AF91" s="440">
        <f t="shared" si="49"/>
        <v>2051</v>
      </c>
      <c r="AG91" s="440">
        <f t="shared" si="49"/>
        <v>2052</v>
      </c>
    </row>
    <row r="92" spans="1:60">
      <c r="A92" s="432"/>
      <c r="B92" s="436" t="s">
        <v>353</v>
      </c>
      <c r="C92" s="439">
        <f>SUM(D92:AG92)</f>
        <v>2451520650</v>
      </c>
      <c r="D92" s="435">
        <f>H12+H14+H16+H17+H18+H19+H30+H32+H34+H35+H36+H60+H62+H65+H66+H67</f>
        <v>86349180</v>
      </c>
      <c r="E92" s="435">
        <f>I12+I14+I16+I17+I18+I19+I30+I32+I34+I35+I36+I60+I62+I65+I66+I67</f>
        <v>86349180</v>
      </c>
      <c r="F92" s="435">
        <f>J12+J14+J16+J17+J18+J19+J30+J32+J34+J35+J36+J45+J46+J48+J49+J50+J51+J60+J62+J65+J66+J67</f>
        <v>84784380</v>
      </c>
      <c r="G92" s="435">
        <f>K12+K14+K16+K17+K18+K19+K30+K32+K34+K35+K36+K45+K46+K48+K49+K50+K51+K60+K62+K65+K66+K67</f>
        <v>86603580</v>
      </c>
      <c r="H92" s="435">
        <f>L30+L32+L34+L35+L36+L45+L46+L48+L49+L50+L51+L60+L62+L65+L66+L67+L77+L78+L81+L82+L83</f>
        <v>84471830</v>
      </c>
      <c r="I92" s="435">
        <f>M45+M46+M48+M49+M50+M51+M77+M78+M81+M82+M83</f>
        <v>80918500</v>
      </c>
      <c r="J92" s="435">
        <f t="shared" ref="J92:AG92" si="50">N45+N46+N48+N49+N50+N51+N77+N78+N81+N82+N83</f>
        <v>80918500</v>
      </c>
      <c r="K92" s="435">
        <f t="shared" si="50"/>
        <v>80918500</v>
      </c>
      <c r="L92" s="435">
        <f t="shared" si="50"/>
        <v>80918500</v>
      </c>
      <c r="M92" s="435">
        <f t="shared" si="50"/>
        <v>80918500</v>
      </c>
      <c r="N92" s="435">
        <f t="shared" si="50"/>
        <v>80918500</v>
      </c>
      <c r="O92" s="435">
        <f t="shared" si="50"/>
        <v>80918500</v>
      </c>
      <c r="P92" s="435">
        <f t="shared" si="50"/>
        <v>80918500</v>
      </c>
      <c r="Q92" s="435">
        <f t="shared" si="50"/>
        <v>80918500</v>
      </c>
      <c r="R92" s="435">
        <f t="shared" si="50"/>
        <v>80918500</v>
      </c>
      <c r="S92" s="435">
        <f t="shared" si="50"/>
        <v>80918500</v>
      </c>
      <c r="T92" s="435">
        <f t="shared" si="50"/>
        <v>80918500</v>
      </c>
      <c r="U92" s="435">
        <f t="shared" si="50"/>
        <v>80918500</v>
      </c>
      <c r="V92" s="435">
        <f t="shared" si="50"/>
        <v>80918500</v>
      </c>
      <c r="W92" s="435">
        <f t="shared" si="50"/>
        <v>80918500</v>
      </c>
      <c r="X92" s="435">
        <f t="shared" si="50"/>
        <v>80918500</v>
      </c>
      <c r="Y92" s="435">
        <f t="shared" si="50"/>
        <v>80918500</v>
      </c>
      <c r="Z92" s="435">
        <f t="shared" si="50"/>
        <v>80918500</v>
      </c>
      <c r="AA92" s="435">
        <f t="shared" si="50"/>
        <v>80918500</v>
      </c>
      <c r="AB92" s="435">
        <f t="shared" si="50"/>
        <v>80918500</v>
      </c>
      <c r="AC92" s="435">
        <f t="shared" si="50"/>
        <v>80918500</v>
      </c>
      <c r="AD92" s="435">
        <f t="shared" si="50"/>
        <v>80918500</v>
      </c>
      <c r="AE92" s="435">
        <f t="shared" si="50"/>
        <v>80918500</v>
      </c>
      <c r="AF92" s="435">
        <f t="shared" si="50"/>
        <v>80918500</v>
      </c>
      <c r="AG92" s="435">
        <f t="shared" si="50"/>
        <v>80918500</v>
      </c>
    </row>
    <row r="93" spans="1:60">
      <c r="A93" s="432"/>
      <c r="B93" s="436" t="s">
        <v>351</v>
      </c>
      <c r="C93" s="439">
        <f>SUM(D93:AG93)</f>
        <v>39500000</v>
      </c>
      <c r="D93" s="435">
        <v>0</v>
      </c>
      <c r="E93" s="435">
        <v>0</v>
      </c>
      <c r="F93" s="435">
        <v>0</v>
      </c>
      <c r="G93" s="435">
        <v>0</v>
      </c>
      <c r="H93" s="435">
        <v>0</v>
      </c>
      <c r="I93" s="435">
        <v>0</v>
      </c>
      <c r="J93" s="435">
        <v>0</v>
      </c>
      <c r="K93" s="435">
        <v>0</v>
      </c>
      <c r="L93" s="435">
        <v>0</v>
      </c>
      <c r="M93" s="435">
        <v>0</v>
      </c>
      <c r="N93" s="435">
        <v>0</v>
      </c>
      <c r="O93" s="435">
        <v>0</v>
      </c>
      <c r="P93" s="435">
        <v>0</v>
      </c>
      <c r="Q93" s="435">
        <v>0</v>
      </c>
      <c r="R93" s="435">
        <v>0</v>
      </c>
      <c r="S93" s="435">
        <v>0</v>
      </c>
      <c r="T93" s="435">
        <v>0</v>
      </c>
      <c r="U93" s="435">
        <v>0</v>
      </c>
      <c r="V93" s="435">
        <v>0</v>
      </c>
      <c r="W93" s="435">
        <v>5400000</v>
      </c>
      <c r="X93" s="435">
        <v>5400000</v>
      </c>
      <c r="Y93" s="435">
        <v>5400000</v>
      </c>
      <c r="Z93" s="435">
        <v>5400000</v>
      </c>
      <c r="AA93" s="435">
        <v>5400000</v>
      </c>
      <c r="AB93" s="435">
        <v>2500000</v>
      </c>
      <c r="AC93" s="435">
        <v>2500000</v>
      </c>
      <c r="AD93" s="435">
        <v>2500000</v>
      </c>
      <c r="AE93" s="435">
        <v>2500000</v>
      </c>
      <c r="AF93" s="435">
        <v>2500000</v>
      </c>
      <c r="AG93" s="435">
        <v>0</v>
      </c>
    </row>
    <row r="94" spans="1:60">
      <c r="A94" s="432"/>
      <c r="B94" s="438" t="s">
        <v>350</v>
      </c>
      <c r="C94" s="437">
        <f>SUM(D94:AG94)</f>
        <v>2491020650</v>
      </c>
      <c r="D94" s="437">
        <f t="shared" ref="D94:AG94" si="51">SUM(D92:D93)</f>
        <v>86349180</v>
      </c>
      <c r="E94" s="437">
        <f t="shared" si="51"/>
        <v>86349180</v>
      </c>
      <c r="F94" s="437">
        <f t="shared" si="51"/>
        <v>84784380</v>
      </c>
      <c r="G94" s="437">
        <f t="shared" si="51"/>
        <v>86603580</v>
      </c>
      <c r="H94" s="437">
        <f t="shared" si="51"/>
        <v>84471830</v>
      </c>
      <c r="I94" s="437">
        <f t="shared" si="51"/>
        <v>80918500</v>
      </c>
      <c r="J94" s="437">
        <f t="shared" si="51"/>
        <v>80918500</v>
      </c>
      <c r="K94" s="437">
        <f t="shared" si="51"/>
        <v>80918500</v>
      </c>
      <c r="L94" s="437">
        <f t="shared" si="51"/>
        <v>80918500</v>
      </c>
      <c r="M94" s="437">
        <f t="shared" si="51"/>
        <v>80918500</v>
      </c>
      <c r="N94" s="437">
        <f t="shared" si="51"/>
        <v>80918500</v>
      </c>
      <c r="O94" s="437">
        <f t="shared" si="51"/>
        <v>80918500</v>
      </c>
      <c r="P94" s="437">
        <f t="shared" si="51"/>
        <v>80918500</v>
      </c>
      <c r="Q94" s="437">
        <f t="shared" si="51"/>
        <v>80918500</v>
      </c>
      <c r="R94" s="437">
        <f t="shared" si="51"/>
        <v>80918500</v>
      </c>
      <c r="S94" s="437">
        <f t="shared" si="51"/>
        <v>80918500</v>
      </c>
      <c r="T94" s="437">
        <f t="shared" si="51"/>
        <v>80918500</v>
      </c>
      <c r="U94" s="437">
        <f t="shared" si="51"/>
        <v>80918500</v>
      </c>
      <c r="V94" s="437">
        <f t="shared" si="51"/>
        <v>80918500</v>
      </c>
      <c r="W94" s="437">
        <f t="shared" si="51"/>
        <v>86318500</v>
      </c>
      <c r="X94" s="437">
        <f t="shared" si="51"/>
        <v>86318500</v>
      </c>
      <c r="Y94" s="437">
        <f t="shared" si="51"/>
        <v>86318500</v>
      </c>
      <c r="Z94" s="437">
        <f t="shared" si="51"/>
        <v>86318500</v>
      </c>
      <c r="AA94" s="437">
        <f t="shared" si="51"/>
        <v>86318500</v>
      </c>
      <c r="AB94" s="437">
        <f t="shared" si="51"/>
        <v>83418500</v>
      </c>
      <c r="AC94" s="437">
        <f t="shared" si="51"/>
        <v>83418500</v>
      </c>
      <c r="AD94" s="437">
        <f t="shared" si="51"/>
        <v>83418500</v>
      </c>
      <c r="AE94" s="437">
        <f t="shared" si="51"/>
        <v>83418500</v>
      </c>
      <c r="AF94" s="437">
        <f t="shared" si="51"/>
        <v>83418500</v>
      </c>
      <c r="AG94" s="437">
        <f t="shared" si="51"/>
        <v>80918500</v>
      </c>
    </row>
    <row r="95" spans="1:60">
      <c r="A95" s="432"/>
      <c r="B95" s="436" t="s">
        <v>56</v>
      </c>
      <c r="C95" s="432"/>
      <c r="D95" s="435">
        <f>H21+H38+H69</f>
        <v>5106280</v>
      </c>
      <c r="E95" s="435">
        <f>I21+I38+I69</f>
        <v>5106280</v>
      </c>
      <c r="F95" s="435">
        <f>J21+J38+J53+J54+J69</f>
        <v>5147040</v>
      </c>
      <c r="G95" s="435">
        <f>K21+K38+K53+K54+K69</f>
        <v>5530400</v>
      </c>
      <c r="H95" s="435">
        <f>L38+L53+L54+L69+L85+L86</f>
        <v>6804320</v>
      </c>
      <c r="I95" s="435">
        <f>M53+M54+M85+M86</f>
        <v>7551000</v>
      </c>
      <c r="J95" s="435">
        <f t="shared" ref="J95:AG95" si="52">N53+N54+N85+N86</f>
        <v>7551000</v>
      </c>
      <c r="K95" s="435">
        <f t="shared" si="52"/>
        <v>7551000</v>
      </c>
      <c r="L95" s="435">
        <f t="shared" si="52"/>
        <v>7551000</v>
      </c>
      <c r="M95" s="435">
        <f t="shared" si="52"/>
        <v>7551000</v>
      </c>
      <c r="N95" s="435">
        <f t="shared" si="52"/>
        <v>7551000</v>
      </c>
      <c r="O95" s="435">
        <f t="shared" si="52"/>
        <v>7551000</v>
      </c>
      <c r="P95" s="435">
        <f t="shared" si="52"/>
        <v>7551000</v>
      </c>
      <c r="Q95" s="435">
        <f t="shared" si="52"/>
        <v>7551000</v>
      </c>
      <c r="R95" s="435">
        <f t="shared" si="52"/>
        <v>7551000</v>
      </c>
      <c r="S95" s="435">
        <f t="shared" si="52"/>
        <v>7551000</v>
      </c>
      <c r="T95" s="435">
        <f t="shared" si="52"/>
        <v>7551000</v>
      </c>
      <c r="U95" s="435">
        <f t="shared" si="52"/>
        <v>7551000</v>
      </c>
      <c r="V95" s="435">
        <f t="shared" si="52"/>
        <v>7551000</v>
      </c>
      <c r="W95" s="435">
        <f t="shared" si="52"/>
        <v>7551000</v>
      </c>
      <c r="X95" s="435">
        <f t="shared" si="52"/>
        <v>7551000</v>
      </c>
      <c r="Y95" s="435">
        <f t="shared" si="52"/>
        <v>7551000</v>
      </c>
      <c r="Z95" s="435">
        <f t="shared" si="52"/>
        <v>7551000</v>
      </c>
      <c r="AA95" s="435">
        <f t="shared" si="52"/>
        <v>7551000</v>
      </c>
      <c r="AB95" s="435">
        <f t="shared" si="52"/>
        <v>7551000</v>
      </c>
      <c r="AC95" s="435">
        <f t="shared" si="52"/>
        <v>7551000</v>
      </c>
      <c r="AD95" s="435">
        <f t="shared" si="52"/>
        <v>7551000</v>
      </c>
      <c r="AE95" s="435">
        <f t="shared" si="52"/>
        <v>7551000</v>
      </c>
      <c r="AF95" s="435">
        <f t="shared" si="52"/>
        <v>7551000</v>
      </c>
      <c r="AG95" s="435">
        <f t="shared" si="52"/>
        <v>7551000</v>
      </c>
    </row>
    <row r="96" spans="1:60" ht="13.5" thickBot="1">
      <c r="A96" s="432"/>
      <c r="B96" s="434" t="s">
        <v>54</v>
      </c>
      <c r="C96" s="433">
        <f>SUM(D96:AG96)</f>
        <v>216469320</v>
      </c>
      <c r="D96" s="433">
        <f t="shared" ref="D96:AG96" si="53">SUM(D95:D95)</f>
        <v>5106280</v>
      </c>
      <c r="E96" s="433">
        <f t="shared" si="53"/>
        <v>5106280</v>
      </c>
      <c r="F96" s="433">
        <f t="shared" si="53"/>
        <v>5147040</v>
      </c>
      <c r="G96" s="433">
        <f t="shared" si="53"/>
        <v>5530400</v>
      </c>
      <c r="H96" s="433">
        <f t="shared" si="53"/>
        <v>6804320</v>
      </c>
      <c r="I96" s="433">
        <f t="shared" si="53"/>
        <v>7551000</v>
      </c>
      <c r="J96" s="433">
        <f t="shared" si="53"/>
        <v>7551000</v>
      </c>
      <c r="K96" s="433">
        <f t="shared" si="53"/>
        <v>7551000</v>
      </c>
      <c r="L96" s="433">
        <f t="shared" si="53"/>
        <v>7551000</v>
      </c>
      <c r="M96" s="433">
        <f t="shared" si="53"/>
        <v>7551000</v>
      </c>
      <c r="N96" s="433">
        <f t="shared" si="53"/>
        <v>7551000</v>
      </c>
      <c r="O96" s="433">
        <f t="shared" si="53"/>
        <v>7551000</v>
      </c>
      <c r="P96" s="433">
        <f t="shared" si="53"/>
        <v>7551000</v>
      </c>
      <c r="Q96" s="433">
        <f t="shared" si="53"/>
        <v>7551000</v>
      </c>
      <c r="R96" s="433">
        <f t="shared" si="53"/>
        <v>7551000</v>
      </c>
      <c r="S96" s="433">
        <f t="shared" si="53"/>
        <v>7551000</v>
      </c>
      <c r="T96" s="433">
        <f t="shared" si="53"/>
        <v>7551000</v>
      </c>
      <c r="U96" s="433">
        <f t="shared" si="53"/>
        <v>7551000</v>
      </c>
      <c r="V96" s="433">
        <f t="shared" si="53"/>
        <v>7551000</v>
      </c>
      <c r="W96" s="433">
        <f t="shared" si="53"/>
        <v>7551000</v>
      </c>
      <c r="X96" s="433">
        <f t="shared" si="53"/>
        <v>7551000</v>
      </c>
      <c r="Y96" s="433">
        <f t="shared" si="53"/>
        <v>7551000</v>
      </c>
      <c r="Z96" s="433">
        <f t="shared" si="53"/>
        <v>7551000</v>
      </c>
      <c r="AA96" s="433">
        <f t="shared" si="53"/>
        <v>7551000</v>
      </c>
      <c r="AB96" s="433">
        <f t="shared" si="53"/>
        <v>7551000</v>
      </c>
      <c r="AC96" s="433">
        <f t="shared" si="53"/>
        <v>7551000</v>
      </c>
      <c r="AD96" s="433">
        <f t="shared" si="53"/>
        <v>7551000</v>
      </c>
      <c r="AE96" s="433">
        <f t="shared" si="53"/>
        <v>7551000</v>
      </c>
      <c r="AF96" s="433">
        <f t="shared" si="53"/>
        <v>7551000</v>
      </c>
      <c r="AG96" s="433">
        <f t="shared" si="53"/>
        <v>7551000</v>
      </c>
    </row>
    <row r="97" spans="1:60" ht="13.5" thickTop="1">
      <c r="A97" s="432"/>
      <c r="B97" s="431" t="s">
        <v>53</v>
      </c>
      <c r="C97" s="430">
        <f>SUM(D97:AG97)</f>
        <v>2707489970</v>
      </c>
      <c r="D97" s="430">
        <f t="shared" ref="D97:AG97" si="54">SUM(D94,D96)</f>
        <v>91455460</v>
      </c>
      <c r="E97" s="430">
        <f t="shared" si="54"/>
        <v>91455460</v>
      </c>
      <c r="F97" s="430">
        <f t="shared" si="54"/>
        <v>89931420</v>
      </c>
      <c r="G97" s="430">
        <f t="shared" si="54"/>
        <v>92133980</v>
      </c>
      <c r="H97" s="430">
        <f t="shared" si="54"/>
        <v>91276150</v>
      </c>
      <c r="I97" s="430">
        <f t="shared" si="54"/>
        <v>88469500</v>
      </c>
      <c r="J97" s="430">
        <f t="shared" si="54"/>
        <v>88469500</v>
      </c>
      <c r="K97" s="430">
        <f t="shared" si="54"/>
        <v>88469500</v>
      </c>
      <c r="L97" s="430">
        <f t="shared" si="54"/>
        <v>88469500</v>
      </c>
      <c r="M97" s="430">
        <f t="shared" si="54"/>
        <v>88469500</v>
      </c>
      <c r="N97" s="430">
        <f t="shared" si="54"/>
        <v>88469500</v>
      </c>
      <c r="O97" s="430">
        <f t="shared" si="54"/>
        <v>88469500</v>
      </c>
      <c r="P97" s="430">
        <f t="shared" si="54"/>
        <v>88469500</v>
      </c>
      <c r="Q97" s="430">
        <f t="shared" si="54"/>
        <v>88469500</v>
      </c>
      <c r="R97" s="430">
        <f t="shared" si="54"/>
        <v>88469500</v>
      </c>
      <c r="S97" s="430">
        <f t="shared" si="54"/>
        <v>88469500</v>
      </c>
      <c r="T97" s="430">
        <f t="shared" si="54"/>
        <v>88469500</v>
      </c>
      <c r="U97" s="430">
        <f t="shared" si="54"/>
        <v>88469500</v>
      </c>
      <c r="V97" s="430">
        <f t="shared" si="54"/>
        <v>88469500</v>
      </c>
      <c r="W97" s="430">
        <f t="shared" si="54"/>
        <v>93869500</v>
      </c>
      <c r="X97" s="430">
        <f t="shared" si="54"/>
        <v>93869500</v>
      </c>
      <c r="Y97" s="430">
        <f t="shared" si="54"/>
        <v>93869500</v>
      </c>
      <c r="Z97" s="430">
        <f t="shared" si="54"/>
        <v>93869500</v>
      </c>
      <c r="AA97" s="430">
        <f t="shared" si="54"/>
        <v>93869500</v>
      </c>
      <c r="AB97" s="430">
        <f t="shared" si="54"/>
        <v>90969500</v>
      </c>
      <c r="AC97" s="430">
        <f t="shared" si="54"/>
        <v>90969500</v>
      </c>
      <c r="AD97" s="430">
        <f t="shared" si="54"/>
        <v>90969500</v>
      </c>
      <c r="AE97" s="430">
        <f t="shared" si="54"/>
        <v>90969500</v>
      </c>
      <c r="AF97" s="430">
        <f t="shared" si="54"/>
        <v>90969500</v>
      </c>
      <c r="AG97" s="430">
        <f t="shared" si="54"/>
        <v>88469500</v>
      </c>
    </row>
    <row r="98" spans="1:60">
      <c r="A98" s="432"/>
      <c r="BC98" s="429"/>
      <c r="BD98" s="429"/>
      <c r="BE98" s="429"/>
      <c r="BF98" s="429"/>
      <c r="BG98" s="429"/>
      <c r="BH98" s="429"/>
    </row>
    <row r="100" spans="1:60">
      <c r="L100" s="443"/>
    </row>
    <row r="101" spans="1:60" s="429" customFormat="1">
      <c r="A101" s="428"/>
      <c r="B101" s="428"/>
      <c r="C101" s="428"/>
      <c r="D101" s="428"/>
      <c r="E101" s="428"/>
      <c r="F101" s="428"/>
      <c r="G101" s="428"/>
      <c r="H101" s="428"/>
      <c r="I101" s="428"/>
      <c r="J101" s="428"/>
      <c r="K101" s="428"/>
      <c r="L101" s="428"/>
      <c r="M101" s="428"/>
      <c r="N101" s="428"/>
      <c r="O101" s="428"/>
      <c r="P101" s="428"/>
      <c r="Q101" s="428"/>
      <c r="R101" s="428"/>
      <c r="S101" s="428"/>
      <c r="T101" s="428"/>
      <c r="U101" s="428"/>
      <c r="V101" s="428"/>
      <c r="W101" s="428"/>
      <c r="X101" s="428"/>
      <c r="Y101" s="428"/>
      <c r="Z101" s="428"/>
      <c r="AA101" s="428"/>
      <c r="AB101" s="428"/>
      <c r="AC101" s="428"/>
      <c r="AD101" s="428"/>
      <c r="AE101" s="428"/>
      <c r="AF101" s="428"/>
      <c r="AG101" s="428"/>
      <c r="AH101" s="428"/>
      <c r="AI101" s="428"/>
      <c r="AJ101" s="428"/>
      <c r="AK101" s="428"/>
      <c r="AL101" s="428"/>
      <c r="AM101" s="428"/>
      <c r="AN101" s="428"/>
      <c r="AO101" s="428"/>
      <c r="AP101" s="428"/>
      <c r="AQ101" s="428"/>
      <c r="AR101" s="428"/>
      <c r="AS101" s="428"/>
      <c r="AT101" s="428"/>
      <c r="AU101" s="428"/>
      <c r="AV101" s="428"/>
      <c r="AW101" s="428"/>
      <c r="AX101" s="428"/>
      <c r="AY101" s="428"/>
      <c r="AZ101" s="428"/>
      <c r="BA101" s="428"/>
      <c r="BB101" s="428"/>
      <c r="BC101" s="428"/>
      <c r="BD101" s="428"/>
      <c r="BE101" s="428"/>
      <c r="BF101" s="428"/>
      <c r="BG101" s="428"/>
      <c r="BH101" s="428"/>
    </row>
    <row r="103" spans="1:60">
      <c r="C103" s="443"/>
    </row>
    <row r="119" spans="1:77" s="429" customFormat="1">
      <c r="A119" s="428"/>
      <c r="B119" s="428"/>
      <c r="C119" s="428"/>
      <c r="D119" s="428"/>
      <c r="E119" s="428"/>
      <c r="F119" s="428"/>
      <c r="G119" s="428"/>
      <c r="H119" s="428"/>
      <c r="I119" s="428"/>
      <c r="J119" s="428"/>
      <c r="K119" s="428"/>
      <c r="L119" s="428"/>
      <c r="M119" s="428"/>
      <c r="N119" s="428"/>
      <c r="O119" s="428"/>
      <c r="P119" s="428"/>
      <c r="Q119" s="428"/>
      <c r="R119" s="428"/>
      <c r="S119" s="428"/>
      <c r="T119" s="428"/>
      <c r="U119" s="428"/>
      <c r="V119" s="428"/>
      <c r="W119" s="428"/>
      <c r="X119" s="428"/>
      <c r="Y119" s="428"/>
      <c r="Z119" s="428"/>
      <c r="AA119" s="428"/>
      <c r="AB119" s="428"/>
      <c r="AC119" s="428"/>
      <c r="AD119" s="428"/>
      <c r="AE119" s="428"/>
      <c r="AF119" s="428"/>
      <c r="AG119" s="428"/>
      <c r="AH119" s="428"/>
      <c r="AI119" s="428"/>
      <c r="AJ119" s="428"/>
      <c r="AK119" s="428"/>
      <c r="AL119" s="428"/>
      <c r="AM119" s="428"/>
      <c r="AN119" s="428"/>
      <c r="AO119" s="428"/>
      <c r="AP119" s="428"/>
      <c r="AQ119" s="428"/>
      <c r="AR119" s="428"/>
      <c r="AS119" s="428"/>
      <c r="AT119" s="428"/>
      <c r="AU119" s="428"/>
      <c r="AV119" s="428"/>
      <c r="AW119" s="428"/>
      <c r="AX119" s="428"/>
      <c r="AY119" s="428"/>
      <c r="AZ119" s="428"/>
      <c r="BA119" s="428"/>
      <c r="BB119" s="428"/>
      <c r="BC119" s="428"/>
      <c r="BD119" s="428"/>
      <c r="BE119" s="428"/>
      <c r="BF119" s="428"/>
      <c r="BG119" s="428"/>
      <c r="BH119" s="428"/>
      <c r="BI119" s="428"/>
      <c r="BJ119" s="428"/>
      <c r="BK119" s="428"/>
      <c r="BL119" s="428"/>
      <c r="BM119" s="428"/>
      <c r="BN119" s="428"/>
      <c r="BO119" s="428"/>
      <c r="BP119" s="428"/>
      <c r="BQ119" s="428"/>
      <c r="BR119" s="428"/>
      <c r="BS119" s="428"/>
      <c r="BT119" s="428"/>
      <c r="BU119" s="428"/>
      <c r="BV119" s="428"/>
      <c r="BW119" s="428"/>
      <c r="BX119" s="428"/>
      <c r="BY119" s="428"/>
    </row>
    <row r="122" spans="1:77">
      <c r="AP122" s="429"/>
      <c r="AQ122" s="429"/>
      <c r="AR122" s="429"/>
      <c r="AS122" s="429"/>
      <c r="AT122" s="429"/>
      <c r="AU122" s="429"/>
      <c r="AV122" s="429"/>
      <c r="AW122" s="429"/>
      <c r="AX122" s="429"/>
      <c r="AY122" s="429"/>
      <c r="AZ122" s="429"/>
      <c r="BA122" s="429"/>
      <c r="BB122" s="429"/>
    </row>
    <row r="126" spans="1:77" s="429" customFormat="1">
      <c r="A126" s="428"/>
      <c r="B126" s="428"/>
      <c r="C126" s="428"/>
      <c r="D126" s="428"/>
      <c r="E126" s="428"/>
      <c r="F126" s="428"/>
      <c r="G126" s="428"/>
      <c r="H126" s="428"/>
      <c r="I126" s="428"/>
      <c r="J126" s="428"/>
      <c r="K126" s="428"/>
      <c r="L126" s="428"/>
      <c r="M126" s="428"/>
      <c r="N126" s="428"/>
      <c r="O126" s="428"/>
      <c r="P126" s="428"/>
      <c r="Q126" s="428"/>
      <c r="R126" s="428"/>
      <c r="S126" s="428"/>
      <c r="T126" s="428"/>
      <c r="U126" s="428"/>
      <c r="V126" s="428"/>
      <c r="W126" s="428"/>
      <c r="X126" s="428"/>
      <c r="Y126" s="428"/>
      <c r="Z126" s="428"/>
      <c r="AA126" s="428"/>
      <c r="AB126" s="428"/>
      <c r="AC126" s="428"/>
      <c r="AD126" s="428"/>
      <c r="AE126" s="428"/>
      <c r="AF126" s="428"/>
      <c r="AG126" s="428"/>
      <c r="AH126" s="428"/>
      <c r="AI126" s="428"/>
      <c r="AJ126" s="428"/>
      <c r="AK126" s="428"/>
      <c r="AL126" s="428"/>
      <c r="AM126" s="428"/>
      <c r="AN126" s="428"/>
      <c r="AO126" s="428"/>
      <c r="AP126" s="428"/>
      <c r="AQ126" s="428"/>
      <c r="AR126" s="428"/>
      <c r="AS126" s="428"/>
      <c r="AT126" s="428"/>
      <c r="AU126" s="428"/>
      <c r="AV126" s="428"/>
      <c r="AW126" s="428"/>
      <c r="AX126" s="428"/>
      <c r="AY126" s="428"/>
      <c r="AZ126" s="428"/>
      <c r="BA126" s="428"/>
      <c r="BB126" s="428"/>
      <c r="BC126" s="428"/>
      <c r="BD126" s="428"/>
      <c r="BE126" s="428"/>
      <c r="BF126" s="428"/>
      <c r="BG126" s="428"/>
      <c r="BH126" s="428"/>
      <c r="BI126" s="428"/>
      <c r="BJ126" s="428"/>
      <c r="BK126" s="428"/>
      <c r="BL126" s="428"/>
      <c r="BM126" s="428"/>
      <c r="BN126" s="428"/>
      <c r="BO126" s="428"/>
      <c r="BP126" s="428"/>
      <c r="BQ126" s="428"/>
      <c r="BR126" s="428"/>
      <c r="BS126" s="428"/>
      <c r="BT126" s="428"/>
      <c r="BU126" s="428"/>
      <c r="BV126" s="428"/>
      <c r="BW126" s="428"/>
      <c r="BX126" s="428"/>
      <c r="BY126" s="428"/>
    </row>
    <row r="139" spans="1:61">
      <c r="BC139" s="429"/>
      <c r="BD139" s="429"/>
      <c r="BE139" s="429"/>
      <c r="BF139" s="429"/>
      <c r="BG139" s="429"/>
      <c r="BH139" s="429"/>
    </row>
    <row r="141" spans="1:61">
      <c r="BI141" s="429"/>
    </row>
    <row r="142" spans="1:61" s="429" customFormat="1">
      <c r="A142" s="428"/>
      <c r="B142" s="428"/>
      <c r="C142" s="428"/>
      <c r="D142" s="428"/>
      <c r="E142" s="428"/>
      <c r="F142" s="428"/>
      <c r="G142" s="428"/>
      <c r="H142" s="428"/>
      <c r="I142" s="428"/>
      <c r="J142" s="428"/>
      <c r="K142" s="428"/>
      <c r="L142" s="428"/>
      <c r="M142" s="428"/>
      <c r="N142" s="428"/>
      <c r="O142" s="428"/>
      <c r="P142" s="428"/>
      <c r="Q142" s="428"/>
      <c r="R142" s="428"/>
      <c r="S142" s="428"/>
      <c r="T142" s="428"/>
      <c r="U142" s="428"/>
      <c r="V142" s="428"/>
      <c r="W142" s="428"/>
      <c r="X142" s="428"/>
      <c r="Y142" s="428"/>
      <c r="Z142" s="428"/>
      <c r="AA142" s="428"/>
      <c r="AB142" s="428"/>
      <c r="AC142" s="428"/>
      <c r="AD142" s="428"/>
      <c r="AE142" s="428"/>
      <c r="AF142" s="428"/>
      <c r="AG142" s="428"/>
      <c r="AH142" s="428"/>
      <c r="AI142" s="428"/>
      <c r="AJ142" s="428"/>
      <c r="AK142" s="428"/>
      <c r="AL142" s="428"/>
      <c r="AM142" s="428"/>
      <c r="AN142" s="428"/>
      <c r="AO142" s="428"/>
      <c r="AP142" s="428"/>
      <c r="AQ142" s="428"/>
      <c r="AR142" s="428"/>
      <c r="AS142" s="428"/>
      <c r="AT142" s="428"/>
      <c r="AU142" s="428"/>
      <c r="AV142" s="428"/>
      <c r="AW142" s="428"/>
      <c r="AX142" s="428"/>
      <c r="AY142" s="428"/>
      <c r="AZ142" s="428"/>
      <c r="BA142" s="428"/>
      <c r="BB142" s="428"/>
      <c r="BC142" s="428"/>
      <c r="BD142" s="428"/>
      <c r="BE142" s="428"/>
      <c r="BF142" s="428"/>
      <c r="BG142" s="428"/>
      <c r="BH142" s="428"/>
      <c r="BI142" s="428"/>
    </row>
  </sheetData>
  <sheetProtection algorithmName="SHA-512" hashValue="euLWDvAdFaX09shqy8ghT11WvxE1PoRWZuzJ0NkQUAV6UhhOweLtVyK331iKCnhuSlUDJeiR9POiJOE2GKYUCw==" saltValue="9g3nkpZxHY/b8+L4D+ebAQ==" spinCount="100000" sheet="1" objects="1" scenarios="1"/>
  <mergeCells count="29">
    <mergeCell ref="G28:G38"/>
    <mergeCell ref="B1:AK1"/>
    <mergeCell ref="B2:G4"/>
    <mergeCell ref="B5:G5"/>
    <mergeCell ref="B6:G6"/>
    <mergeCell ref="B9:B10"/>
    <mergeCell ref="D9:D11"/>
    <mergeCell ref="E9:E11"/>
    <mergeCell ref="F9:F11"/>
    <mergeCell ref="G12:G22"/>
    <mergeCell ref="B25:B26"/>
    <mergeCell ref="D25:D27"/>
    <mergeCell ref="E25:E27"/>
    <mergeCell ref="F25:F27"/>
    <mergeCell ref="G76:G86"/>
    <mergeCell ref="B41:B42"/>
    <mergeCell ref="D41:D43"/>
    <mergeCell ref="E41:E43"/>
    <mergeCell ref="F41:F43"/>
    <mergeCell ref="G44:G54"/>
    <mergeCell ref="B57:B58"/>
    <mergeCell ref="D57:D59"/>
    <mergeCell ref="E57:E59"/>
    <mergeCell ref="F57:F59"/>
    <mergeCell ref="G60:G70"/>
    <mergeCell ref="B73:B74"/>
    <mergeCell ref="D73:D75"/>
    <mergeCell ref="E73:E75"/>
    <mergeCell ref="F73:F7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D60FB-ED69-482B-92F2-ED3BAA45E3DF}">
  <sheetPr>
    <tabColor rgb="FFFFC000"/>
  </sheetPr>
  <dimension ref="B2:AG26"/>
  <sheetViews>
    <sheetView zoomScaleNormal="100" workbookViewId="0">
      <selection activeCell="B32" sqref="B32"/>
    </sheetView>
  </sheetViews>
  <sheetFormatPr defaultColWidth="9.140625" defaultRowHeight="11.25"/>
  <cols>
    <col min="1" max="1" width="2.7109375" style="2" customWidth="1"/>
    <col min="2" max="2" width="30.7109375" style="2" customWidth="1"/>
    <col min="3" max="3" width="16.42578125" style="2" customWidth="1"/>
    <col min="4" max="33" width="13.42578125" style="2" customWidth="1"/>
    <col min="34" max="16384" width="9.140625" style="2"/>
  </cols>
  <sheetData>
    <row r="2" spans="2:33">
      <c r="B2" s="3"/>
      <c r="C2" s="3"/>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t="s">
        <v>252</v>
      </c>
      <c r="C3" s="4"/>
      <c r="D3" s="5">
        <v>1</v>
      </c>
      <c r="E3" s="5">
        <v>2</v>
      </c>
      <c r="F3" s="5">
        <v>3</v>
      </c>
      <c r="G3" s="5">
        <v>4</v>
      </c>
      <c r="H3" s="5">
        <v>5</v>
      </c>
      <c r="I3" s="5">
        <v>6</v>
      </c>
      <c r="J3" s="5">
        <v>7</v>
      </c>
      <c r="K3" s="5">
        <v>8</v>
      </c>
      <c r="L3" s="5">
        <v>9</v>
      </c>
      <c r="M3" s="5">
        <v>10</v>
      </c>
      <c r="N3" s="5">
        <v>11</v>
      </c>
      <c r="O3" s="5">
        <v>12</v>
      </c>
      <c r="P3" s="5">
        <v>13</v>
      </c>
      <c r="Q3" s="5">
        <v>14</v>
      </c>
      <c r="R3" s="5">
        <v>15</v>
      </c>
      <c r="S3" s="5">
        <v>16</v>
      </c>
      <c r="T3" s="5">
        <v>17</v>
      </c>
      <c r="U3" s="5">
        <v>18</v>
      </c>
      <c r="V3" s="5">
        <v>19</v>
      </c>
      <c r="W3" s="5">
        <v>20</v>
      </c>
      <c r="X3" s="5">
        <v>21</v>
      </c>
      <c r="Y3" s="5">
        <v>22</v>
      </c>
      <c r="Z3" s="5">
        <v>23</v>
      </c>
      <c r="AA3" s="5">
        <v>24</v>
      </c>
      <c r="AB3" s="5">
        <v>25</v>
      </c>
      <c r="AC3" s="5">
        <v>26</v>
      </c>
      <c r="AD3" s="5">
        <v>27</v>
      </c>
      <c r="AE3" s="5">
        <v>28</v>
      </c>
      <c r="AF3" s="5">
        <v>29</v>
      </c>
      <c r="AG3" s="5">
        <v>30</v>
      </c>
    </row>
    <row r="4" spans="2:33">
      <c r="B4" s="6" t="s">
        <v>32</v>
      </c>
      <c r="C4" s="6" t="s">
        <v>9</v>
      </c>
      <c r="D4" s="7">
        <f>Parametre!C13</f>
        <v>2023</v>
      </c>
      <c r="E4" s="7">
        <f>$D$4+D3</f>
        <v>2024</v>
      </c>
      <c r="F4" s="7">
        <f>$D$4+E3</f>
        <v>2025</v>
      </c>
      <c r="G4" s="7">
        <f t="shared" ref="G4:AF4" si="0">$D$4+F3</f>
        <v>2026</v>
      </c>
      <c r="H4" s="7">
        <f t="shared" si="0"/>
        <v>2027</v>
      </c>
      <c r="I4" s="7">
        <f t="shared" si="0"/>
        <v>2028</v>
      </c>
      <c r="J4" s="7">
        <f t="shared" si="0"/>
        <v>2029</v>
      </c>
      <c r="K4" s="7">
        <f t="shared" si="0"/>
        <v>2030</v>
      </c>
      <c r="L4" s="7">
        <f t="shared" si="0"/>
        <v>2031</v>
      </c>
      <c r="M4" s="7">
        <f t="shared" si="0"/>
        <v>2032</v>
      </c>
      <c r="N4" s="7">
        <f t="shared" si="0"/>
        <v>2033</v>
      </c>
      <c r="O4" s="7">
        <f t="shared" si="0"/>
        <v>2034</v>
      </c>
      <c r="P4" s="7">
        <f t="shared" si="0"/>
        <v>2035</v>
      </c>
      <c r="Q4" s="7">
        <f t="shared" si="0"/>
        <v>2036</v>
      </c>
      <c r="R4" s="7">
        <f t="shared" si="0"/>
        <v>2037</v>
      </c>
      <c r="S4" s="7">
        <f t="shared" si="0"/>
        <v>2038</v>
      </c>
      <c r="T4" s="7">
        <f t="shared" si="0"/>
        <v>2039</v>
      </c>
      <c r="U4" s="7">
        <f t="shared" si="0"/>
        <v>2040</v>
      </c>
      <c r="V4" s="7">
        <f t="shared" si="0"/>
        <v>2041</v>
      </c>
      <c r="W4" s="7">
        <f t="shared" si="0"/>
        <v>2042</v>
      </c>
      <c r="X4" s="7">
        <f t="shared" si="0"/>
        <v>2043</v>
      </c>
      <c r="Y4" s="7">
        <f t="shared" si="0"/>
        <v>2044</v>
      </c>
      <c r="Z4" s="7">
        <f t="shared" si="0"/>
        <v>2045</v>
      </c>
      <c r="AA4" s="7">
        <f t="shared" si="0"/>
        <v>2046</v>
      </c>
      <c r="AB4" s="7">
        <f t="shared" si="0"/>
        <v>2047</v>
      </c>
      <c r="AC4" s="7">
        <f t="shared" si="0"/>
        <v>2048</v>
      </c>
      <c r="AD4" s="7">
        <f t="shared" si="0"/>
        <v>2049</v>
      </c>
      <c r="AE4" s="7">
        <f t="shared" si="0"/>
        <v>2050</v>
      </c>
      <c r="AF4" s="7">
        <f t="shared" si="0"/>
        <v>2051</v>
      </c>
      <c r="AG4" s="7">
        <f t="shared" ref="AG4" si="1">$D$4+AF3</f>
        <v>2052</v>
      </c>
    </row>
    <row r="5" spans="2:33">
      <c r="B5" s="3" t="s">
        <v>354</v>
      </c>
      <c r="C5" s="180">
        <f>SUM(D5:AG5)</f>
        <v>1034769999.494066</v>
      </c>
      <c r="D5" s="182">
        <v>13988620.180313874</v>
      </c>
      <c r="E5" s="182">
        <v>15146530.486155014</v>
      </c>
      <c r="F5" s="182">
        <v>16545392.504186399</v>
      </c>
      <c r="G5" s="182">
        <v>16786344.216376647</v>
      </c>
      <c r="H5" s="182">
        <v>27193877.630530171</v>
      </c>
      <c r="I5" s="182">
        <v>27193877.630530171</v>
      </c>
      <c r="J5" s="182">
        <v>28553571.512056682</v>
      </c>
      <c r="K5" s="182">
        <v>29981250.087659519</v>
      </c>
      <c r="L5" s="182">
        <v>31480312.592042498</v>
      </c>
      <c r="M5" s="182">
        <v>32109918.84388335</v>
      </c>
      <c r="N5" s="182">
        <v>32752117.220761016</v>
      </c>
      <c r="O5" s="182">
        <v>33407159.565176237</v>
      </c>
      <c r="P5" s="182">
        <v>34075302.756479762</v>
      </c>
      <c r="Q5" s="182">
        <v>34756808.811609358</v>
      </c>
      <c r="R5" s="182">
        <v>35451944.987841547</v>
      </c>
      <c r="S5" s="182">
        <v>36160983.887598373</v>
      </c>
      <c r="T5" s="182">
        <v>36884203.565350339</v>
      </c>
      <c r="U5" s="182">
        <v>37621887.63665735</v>
      </c>
      <c r="V5" s="182">
        <v>38374325.389390498</v>
      </c>
      <c r="W5" s="182">
        <v>39141811.897178307</v>
      </c>
      <c r="X5" s="182">
        <v>39924648.135121875</v>
      </c>
      <c r="Y5" s="182">
        <v>40723141.097824313</v>
      </c>
      <c r="Z5" s="182">
        <v>41537603.919780806</v>
      </c>
      <c r="AA5" s="182">
        <v>42368355.998176418</v>
      </c>
      <c r="AB5" s="182">
        <v>43215723.118139945</v>
      </c>
      <c r="AC5" s="182">
        <v>44080037.580502741</v>
      </c>
      <c r="AD5" s="182">
        <v>44961638.332112804</v>
      </c>
      <c r="AE5" s="182">
        <v>45860871.098755054</v>
      </c>
      <c r="AF5" s="182">
        <v>46778088.52073016</v>
      </c>
      <c r="AG5" s="182">
        <v>47713650.291144803</v>
      </c>
    </row>
    <row r="6" spans="2:33">
      <c r="B6" s="3" t="s">
        <v>55</v>
      </c>
      <c r="C6" s="180">
        <f>SUM(D6:AG6)</f>
        <v>0</v>
      </c>
      <c r="D6" s="182">
        <v>0</v>
      </c>
      <c r="E6" s="182">
        <v>0</v>
      </c>
      <c r="F6" s="182">
        <v>0</v>
      </c>
      <c r="G6" s="182">
        <v>0</v>
      </c>
      <c r="H6" s="182">
        <v>0</v>
      </c>
      <c r="I6" s="182">
        <v>0</v>
      </c>
      <c r="J6" s="182">
        <v>0</v>
      </c>
      <c r="K6" s="182">
        <v>0</v>
      </c>
      <c r="L6" s="182">
        <v>0</v>
      </c>
      <c r="M6" s="182">
        <v>0</v>
      </c>
      <c r="N6" s="182">
        <v>0</v>
      </c>
      <c r="O6" s="182">
        <v>0</v>
      </c>
      <c r="P6" s="182">
        <v>0</v>
      </c>
      <c r="Q6" s="182">
        <v>0</v>
      </c>
      <c r="R6" s="182">
        <v>0</v>
      </c>
      <c r="S6" s="182">
        <v>0</v>
      </c>
      <c r="T6" s="182">
        <v>0</v>
      </c>
      <c r="U6" s="182">
        <v>0</v>
      </c>
      <c r="V6" s="182">
        <v>0</v>
      </c>
      <c r="W6" s="182">
        <v>0</v>
      </c>
      <c r="X6" s="182">
        <v>0</v>
      </c>
      <c r="Y6" s="182">
        <v>0</v>
      </c>
      <c r="Z6" s="182">
        <v>0</v>
      </c>
      <c r="AA6" s="182">
        <v>0</v>
      </c>
      <c r="AB6" s="182">
        <v>0</v>
      </c>
      <c r="AC6" s="182">
        <v>0</v>
      </c>
      <c r="AD6" s="182">
        <v>0</v>
      </c>
      <c r="AE6" s="182">
        <v>0</v>
      </c>
      <c r="AF6" s="182">
        <v>0</v>
      </c>
      <c r="AG6" s="182">
        <v>0</v>
      </c>
    </row>
    <row r="7" spans="2:33">
      <c r="B7" s="4" t="s">
        <v>11</v>
      </c>
      <c r="C7" s="184">
        <f>SUM(D7:AG7)</f>
        <v>1034769999.494066</v>
      </c>
      <c r="D7" s="184">
        <f>SUM(D5:D6)</f>
        <v>13988620.180313874</v>
      </c>
      <c r="E7" s="184">
        <f t="shared" ref="E7:AG7" si="2">SUM(E5:E6)</f>
        <v>15146530.486155014</v>
      </c>
      <c r="F7" s="184">
        <f t="shared" si="2"/>
        <v>16545392.504186399</v>
      </c>
      <c r="G7" s="184">
        <f t="shared" si="2"/>
        <v>16786344.216376647</v>
      </c>
      <c r="H7" s="184">
        <f t="shared" si="2"/>
        <v>27193877.630530171</v>
      </c>
      <c r="I7" s="184">
        <f t="shared" si="2"/>
        <v>27193877.630530171</v>
      </c>
      <c r="J7" s="184">
        <f t="shared" si="2"/>
        <v>28553571.512056682</v>
      </c>
      <c r="K7" s="184">
        <f t="shared" si="2"/>
        <v>29981250.087659519</v>
      </c>
      <c r="L7" s="184">
        <f t="shared" si="2"/>
        <v>31480312.592042498</v>
      </c>
      <c r="M7" s="184">
        <f t="shared" si="2"/>
        <v>32109918.84388335</v>
      </c>
      <c r="N7" s="184">
        <f t="shared" si="2"/>
        <v>32752117.220761016</v>
      </c>
      <c r="O7" s="184">
        <f t="shared" si="2"/>
        <v>33407159.565176237</v>
      </c>
      <c r="P7" s="184">
        <f t="shared" si="2"/>
        <v>34075302.756479762</v>
      </c>
      <c r="Q7" s="184">
        <f t="shared" si="2"/>
        <v>34756808.811609358</v>
      </c>
      <c r="R7" s="184">
        <f t="shared" si="2"/>
        <v>35451944.987841547</v>
      </c>
      <c r="S7" s="184">
        <f t="shared" si="2"/>
        <v>36160983.887598373</v>
      </c>
      <c r="T7" s="184">
        <f t="shared" si="2"/>
        <v>36884203.565350339</v>
      </c>
      <c r="U7" s="184">
        <f t="shared" si="2"/>
        <v>37621887.63665735</v>
      </c>
      <c r="V7" s="184">
        <f t="shared" si="2"/>
        <v>38374325.389390498</v>
      </c>
      <c r="W7" s="184">
        <f t="shared" si="2"/>
        <v>39141811.897178307</v>
      </c>
      <c r="X7" s="184">
        <f t="shared" si="2"/>
        <v>39924648.135121875</v>
      </c>
      <c r="Y7" s="184">
        <f t="shared" si="2"/>
        <v>40723141.097824313</v>
      </c>
      <c r="Z7" s="184">
        <f t="shared" si="2"/>
        <v>41537603.919780806</v>
      </c>
      <c r="AA7" s="184">
        <f t="shared" si="2"/>
        <v>42368355.998176418</v>
      </c>
      <c r="AB7" s="184">
        <f t="shared" si="2"/>
        <v>43215723.118139945</v>
      </c>
      <c r="AC7" s="184">
        <f t="shared" si="2"/>
        <v>44080037.580502741</v>
      </c>
      <c r="AD7" s="184">
        <f t="shared" si="2"/>
        <v>44961638.332112804</v>
      </c>
      <c r="AE7" s="184">
        <f t="shared" si="2"/>
        <v>45860871.098755054</v>
      </c>
      <c r="AF7" s="184">
        <f t="shared" si="2"/>
        <v>46778088.52073016</v>
      </c>
      <c r="AG7" s="184">
        <f t="shared" si="2"/>
        <v>47713650.291144803</v>
      </c>
    </row>
    <row r="10" spans="2:33">
      <c r="B10" s="3"/>
      <c r="C10" s="3"/>
      <c r="D10" s="3" t="s">
        <v>10</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2:33">
      <c r="B11" s="4" t="s">
        <v>253</v>
      </c>
      <c r="C11" s="4"/>
      <c r="D11" s="3">
        <v>1</v>
      </c>
      <c r="E11" s="3">
        <v>2</v>
      </c>
      <c r="F11" s="3">
        <v>3</v>
      </c>
      <c r="G11" s="3">
        <v>4</v>
      </c>
      <c r="H11" s="3">
        <v>5</v>
      </c>
      <c r="I11" s="3">
        <v>6</v>
      </c>
      <c r="J11" s="3">
        <v>7</v>
      </c>
      <c r="K11" s="3">
        <v>8</v>
      </c>
      <c r="L11" s="3">
        <v>9</v>
      </c>
      <c r="M11" s="3">
        <v>10</v>
      </c>
      <c r="N11" s="3">
        <v>11</v>
      </c>
      <c r="O11" s="3">
        <v>12</v>
      </c>
      <c r="P11" s="3">
        <v>13</v>
      </c>
      <c r="Q11" s="3">
        <v>14</v>
      </c>
      <c r="R11" s="3">
        <v>15</v>
      </c>
      <c r="S11" s="3">
        <v>16</v>
      </c>
      <c r="T11" s="3">
        <v>17</v>
      </c>
      <c r="U11" s="3">
        <v>18</v>
      </c>
      <c r="V11" s="3">
        <v>19</v>
      </c>
      <c r="W11" s="3">
        <v>20</v>
      </c>
      <c r="X11" s="3">
        <v>21</v>
      </c>
      <c r="Y11" s="3">
        <v>22</v>
      </c>
      <c r="Z11" s="3">
        <v>23</v>
      </c>
      <c r="AA11" s="3">
        <v>24</v>
      </c>
      <c r="AB11" s="3">
        <v>25</v>
      </c>
      <c r="AC11" s="3">
        <v>26</v>
      </c>
      <c r="AD11" s="3">
        <v>27</v>
      </c>
      <c r="AE11" s="3">
        <v>28</v>
      </c>
      <c r="AF11" s="3">
        <v>29</v>
      </c>
      <c r="AG11" s="3">
        <v>30</v>
      </c>
    </row>
    <row r="12" spans="2:33">
      <c r="B12" s="6" t="s">
        <v>33</v>
      </c>
      <c r="C12" s="6" t="s">
        <v>9</v>
      </c>
      <c r="D12" s="17">
        <f>D4</f>
        <v>2023</v>
      </c>
      <c r="E12" s="17">
        <f>E4</f>
        <v>2024</v>
      </c>
      <c r="F12" s="17">
        <f>F4</f>
        <v>2025</v>
      </c>
      <c r="G12" s="17">
        <f t="shared" ref="G12:AF12" si="3">G4</f>
        <v>2026</v>
      </c>
      <c r="H12" s="17">
        <f t="shared" si="3"/>
        <v>2027</v>
      </c>
      <c r="I12" s="17">
        <f t="shared" si="3"/>
        <v>2028</v>
      </c>
      <c r="J12" s="17">
        <f t="shared" si="3"/>
        <v>2029</v>
      </c>
      <c r="K12" s="17">
        <f t="shared" si="3"/>
        <v>2030</v>
      </c>
      <c r="L12" s="17">
        <f t="shared" si="3"/>
        <v>2031</v>
      </c>
      <c r="M12" s="17">
        <f t="shared" si="3"/>
        <v>2032</v>
      </c>
      <c r="N12" s="17">
        <f t="shared" si="3"/>
        <v>2033</v>
      </c>
      <c r="O12" s="17">
        <f t="shared" si="3"/>
        <v>2034</v>
      </c>
      <c r="P12" s="17">
        <f t="shared" si="3"/>
        <v>2035</v>
      </c>
      <c r="Q12" s="17">
        <f t="shared" si="3"/>
        <v>2036</v>
      </c>
      <c r="R12" s="17">
        <f t="shared" si="3"/>
        <v>2037</v>
      </c>
      <c r="S12" s="17">
        <f t="shared" si="3"/>
        <v>2038</v>
      </c>
      <c r="T12" s="17">
        <f t="shared" si="3"/>
        <v>2039</v>
      </c>
      <c r="U12" s="17">
        <f t="shared" si="3"/>
        <v>2040</v>
      </c>
      <c r="V12" s="17">
        <f t="shared" si="3"/>
        <v>2041</v>
      </c>
      <c r="W12" s="17">
        <f t="shared" si="3"/>
        <v>2042</v>
      </c>
      <c r="X12" s="17">
        <f t="shared" si="3"/>
        <v>2043</v>
      </c>
      <c r="Y12" s="17">
        <f t="shared" si="3"/>
        <v>2044</v>
      </c>
      <c r="Z12" s="17">
        <f t="shared" si="3"/>
        <v>2045</v>
      </c>
      <c r="AA12" s="17">
        <f t="shared" si="3"/>
        <v>2046</v>
      </c>
      <c r="AB12" s="17">
        <f t="shared" si="3"/>
        <v>2047</v>
      </c>
      <c r="AC12" s="17">
        <f t="shared" si="3"/>
        <v>2048</v>
      </c>
      <c r="AD12" s="17">
        <f t="shared" si="3"/>
        <v>2049</v>
      </c>
      <c r="AE12" s="17">
        <f t="shared" si="3"/>
        <v>2050</v>
      </c>
      <c r="AF12" s="17">
        <f t="shared" si="3"/>
        <v>2051</v>
      </c>
      <c r="AG12" s="17">
        <f t="shared" ref="AG12" si="4">AG4</f>
        <v>2052</v>
      </c>
    </row>
    <row r="13" spans="2:33">
      <c r="B13" s="3" t="s">
        <v>354</v>
      </c>
      <c r="C13" s="180">
        <f>SUM(D13:AG13)</f>
        <v>1620216724.5130885</v>
      </c>
      <c r="D13" s="182">
        <v>13988620.180313874</v>
      </c>
      <c r="E13" s="182">
        <v>15146530.486155014</v>
      </c>
      <c r="F13" s="182">
        <v>16545392.504186399</v>
      </c>
      <c r="G13" s="182">
        <v>16786344.216376647</v>
      </c>
      <c r="H13" s="182">
        <v>33292076.71201067</v>
      </c>
      <c r="I13" s="182">
        <v>43863625.787736677</v>
      </c>
      <c r="J13" s="182">
        <v>46056807.077123508</v>
      </c>
      <c r="K13" s="182">
        <v>48359647.430979684</v>
      </c>
      <c r="L13" s="182">
        <v>50777629.802528672</v>
      </c>
      <c r="M13" s="182">
        <v>51793182.398579247</v>
      </c>
      <c r="N13" s="182">
        <v>52829046.046550833</v>
      </c>
      <c r="O13" s="182">
        <v>53885626.967481852</v>
      </c>
      <c r="P13" s="182">
        <v>54963339.506831497</v>
      </c>
      <c r="Q13" s="182">
        <v>56062606.296968132</v>
      </c>
      <c r="R13" s="182">
        <v>57183858.422907494</v>
      </c>
      <c r="S13" s="182">
        <v>58327535.591365643</v>
      </c>
      <c r="T13" s="182">
        <v>59494086.303192958</v>
      </c>
      <c r="U13" s="182">
        <v>60683968.029256821</v>
      </c>
      <c r="V13" s="182">
        <v>61897647.389841959</v>
      </c>
      <c r="W13" s="182">
        <v>63135600.337638795</v>
      </c>
      <c r="X13" s="182">
        <v>64398312.344391577</v>
      </c>
      <c r="Y13" s="182">
        <v>65686278.59127941</v>
      </c>
      <c r="Z13" s="182">
        <v>67000004.163104996</v>
      </c>
      <c r="AA13" s="182">
        <v>68340004.246367097</v>
      </c>
      <c r="AB13" s="182">
        <v>69706804.331294447</v>
      </c>
      <c r="AC13" s="182">
        <v>71100940.417920336</v>
      </c>
      <c r="AD13" s="182">
        <v>72522959.226278737</v>
      </c>
      <c r="AE13" s="182">
        <v>73973418.410804316</v>
      </c>
      <c r="AF13" s="182">
        <v>75452886.779020399</v>
      </c>
      <c r="AG13" s="182">
        <v>76961944.514600813</v>
      </c>
    </row>
    <row r="14" spans="2:33">
      <c r="B14" s="3" t="s">
        <v>55</v>
      </c>
      <c r="C14" s="180">
        <f>SUM(D14:AG14)</f>
        <v>0</v>
      </c>
      <c r="D14" s="182">
        <v>0</v>
      </c>
      <c r="E14" s="182">
        <v>0</v>
      </c>
      <c r="F14" s="182">
        <v>0</v>
      </c>
      <c r="G14" s="182">
        <v>0</v>
      </c>
      <c r="H14" s="182">
        <v>0</v>
      </c>
      <c r="I14" s="182">
        <v>0</v>
      </c>
      <c r="J14" s="182">
        <v>0</v>
      </c>
      <c r="K14" s="182">
        <v>0</v>
      </c>
      <c r="L14" s="182">
        <v>0</v>
      </c>
      <c r="M14" s="182">
        <v>0</v>
      </c>
      <c r="N14" s="182">
        <v>0</v>
      </c>
      <c r="O14" s="182">
        <v>0</v>
      </c>
      <c r="P14" s="182">
        <v>0</v>
      </c>
      <c r="Q14" s="182">
        <v>0</v>
      </c>
      <c r="R14" s="182">
        <v>0</v>
      </c>
      <c r="S14" s="182">
        <v>0</v>
      </c>
      <c r="T14" s="182">
        <v>0</v>
      </c>
      <c r="U14" s="182">
        <v>0</v>
      </c>
      <c r="V14" s="182">
        <v>0</v>
      </c>
      <c r="W14" s="182">
        <v>0</v>
      </c>
      <c r="X14" s="182">
        <v>0</v>
      </c>
      <c r="Y14" s="182">
        <v>0</v>
      </c>
      <c r="Z14" s="182">
        <v>0</v>
      </c>
      <c r="AA14" s="182">
        <v>0</v>
      </c>
      <c r="AB14" s="182">
        <v>0</v>
      </c>
      <c r="AC14" s="182">
        <v>0</v>
      </c>
      <c r="AD14" s="182">
        <v>0</v>
      </c>
      <c r="AE14" s="182">
        <v>0</v>
      </c>
      <c r="AF14" s="182">
        <v>0</v>
      </c>
      <c r="AG14" s="182">
        <v>0</v>
      </c>
    </row>
    <row r="15" spans="2:33">
      <c r="B15" s="4" t="s">
        <v>11</v>
      </c>
      <c r="C15" s="184">
        <f>SUM(D15:AG15)</f>
        <v>1620216724.5130885</v>
      </c>
      <c r="D15" s="184">
        <f>SUM(D13:D14)</f>
        <v>13988620.180313874</v>
      </c>
      <c r="E15" s="184">
        <f t="shared" ref="E15:AG15" si="5">SUM(E13:E14)</f>
        <v>15146530.486155014</v>
      </c>
      <c r="F15" s="184">
        <f t="shared" si="5"/>
        <v>16545392.504186399</v>
      </c>
      <c r="G15" s="184">
        <f t="shared" si="5"/>
        <v>16786344.216376647</v>
      </c>
      <c r="H15" s="184">
        <f t="shared" si="5"/>
        <v>33292076.71201067</v>
      </c>
      <c r="I15" s="184">
        <f t="shared" si="5"/>
        <v>43863625.787736677</v>
      </c>
      <c r="J15" s="184">
        <f t="shared" si="5"/>
        <v>46056807.077123508</v>
      </c>
      <c r="K15" s="184">
        <f t="shared" si="5"/>
        <v>48359647.430979684</v>
      </c>
      <c r="L15" s="184">
        <f t="shared" si="5"/>
        <v>50777629.802528672</v>
      </c>
      <c r="M15" s="184">
        <f t="shared" si="5"/>
        <v>51793182.398579247</v>
      </c>
      <c r="N15" s="184">
        <f t="shared" si="5"/>
        <v>52829046.046550833</v>
      </c>
      <c r="O15" s="184">
        <f t="shared" si="5"/>
        <v>53885626.967481852</v>
      </c>
      <c r="P15" s="184">
        <f t="shared" si="5"/>
        <v>54963339.506831497</v>
      </c>
      <c r="Q15" s="184">
        <f t="shared" si="5"/>
        <v>56062606.296968132</v>
      </c>
      <c r="R15" s="184">
        <f t="shared" si="5"/>
        <v>57183858.422907494</v>
      </c>
      <c r="S15" s="184">
        <f t="shared" si="5"/>
        <v>58327535.591365643</v>
      </c>
      <c r="T15" s="184">
        <f t="shared" si="5"/>
        <v>59494086.303192958</v>
      </c>
      <c r="U15" s="184">
        <f t="shared" si="5"/>
        <v>60683968.029256821</v>
      </c>
      <c r="V15" s="184">
        <f t="shared" si="5"/>
        <v>61897647.389841959</v>
      </c>
      <c r="W15" s="184">
        <f t="shared" si="5"/>
        <v>63135600.337638795</v>
      </c>
      <c r="X15" s="184">
        <f t="shared" si="5"/>
        <v>64398312.344391577</v>
      </c>
      <c r="Y15" s="184">
        <f t="shared" si="5"/>
        <v>65686278.59127941</v>
      </c>
      <c r="Z15" s="184">
        <f t="shared" si="5"/>
        <v>67000004.163104996</v>
      </c>
      <c r="AA15" s="184">
        <f t="shared" si="5"/>
        <v>68340004.246367097</v>
      </c>
      <c r="AB15" s="184">
        <f t="shared" si="5"/>
        <v>69706804.331294447</v>
      </c>
      <c r="AC15" s="184">
        <f t="shared" si="5"/>
        <v>71100940.417920336</v>
      </c>
      <c r="AD15" s="184">
        <f t="shared" si="5"/>
        <v>72522959.226278737</v>
      </c>
      <c r="AE15" s="184">
        <f t="shared" si="5"/>
        <v>73973418.410804316</v>
      </c>
      <c r="AF15" s="184">
        <f t="shared" si="5"/>
        <v>75452886.779020399</v>
      </c>
      <c r="AG15" s="184">
        <f t="shared" si="5"/>
        <v>76961944.514600813</v>
      </c>
    </row>
    <row r="18" spans="2:33">
      <c r="B18" s="3"/>
      <c r="C18" s="3"/>
      <c r="D18" s="3" t="s">
        <v>10</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2:33">
      <c r="B19" s="4" t="s">
        <v>254</v>
      </c>
      <c r="C19" s="4"/>
      <c r="D19" s="3">
        <v>1</v>
      </c>
      <c r="E19" s="3">
        <v>2</v>
      </c>
      <c r="F19" s="3">
        <v>3</v>
      </c>
      <c r="G19" s="3">
        <v>4</v>
      </c>
      <c r="H19" s="3">
        <v>5</v>
      </c>
      <c r="I19" s="3">
        <v>6</v>
      </c>
      <c r="J19" s="3">
        <v>7</v>
      </c>
      <c r="K19" s="3">
        <v>8</v>
      </c>
      <c r="L19" s="3">
        <v>9</v>
      </c>
      <c r="M19" s="3">
        <v>10</v>
      </c>
      <c r="N19" s="3">
        <v>11</v>
      </c>
      <c r="O19" s="3">
        <v>12</v>
      </c>
      <c r="P19" s="3">
        <v>13</v>
      </c>
      <c r="Q19" s="3">
        <v>14</v>
      </c>
      <c r="R19" s="3">
        <v>15</v>
      </c>
      <c r="S19" s="3">
        <v>16</v>
      </c>
      <c r="T19" s="3">
        <v>17</v>
      </c>
      <c r="U19" s="3">
        <v>18</v>
      </c>
      <c r="V19" s="3">
        <v>19</v>
      </c>
      <c r="W19" s="3">
        <v>20</v>
      </c>
      <c r="X19" s="3">
        <v>21</v>
      </c>
      <c r="Y19" s="3">
        <v>22</v>
      </c>
      <c r="Z19" s="3">
        <v>23</v>
      </c>
      <c r="AA19" s="3">
        <v>24</v>
      </c>
      <c r="AB19" s="3">
        <v>25</v>
      </c>
      <c r="AC19" s="3">
        <v>26</v>
      </c>
      <c r="AD19" s="3">
        <v>27</v>
      </c>
      <c r="AE19" s="3">
        <v>28</v>
      </c>
      <c r="AF19" s="3">
        <v>29</v>
      </c>
      <c r="AG19" s="3">
        <v>30</v>
      </c>
    </row>
    <row r="20" spans="2:33">
      <c r="B20" s="170" t="s">
        <v>255</v>
      </c>
      <c r="C20" s="170" t="s">
        <v>9</v>
      </c>
      <c r="D20" s="171">
        <f>D4</f>
        <v>2023</v>
      </c>
      <c r="E20" s="171">
        <f t="shared" ref="E20:AF20" si="6">E4</f>
        <v>2024</v>
      </c>
      <c r="F20" s="171">
        <f t="shared" si="6"/>
        <v>2025</v>
      </c>
      <c r="G20" s="171">
        <f t="shared" si="6"/>
        <v>2026</v>
      </c>
      <c r="H20" s="171">
        <f t="shared" si="6"/>
        <v>2027</v>
      </c>
      <c r="I20" s="171">
        <f t="shared" si="6"/>
        <v>2028</v>
      </c>
      <c r="J20" s="171">
        <f t="shared" si="6"/>
        <v>2029</v>
      </c>
      <c r="K20" s="171">
        <f t="shared" si="6"/>
        <v>2030</v>
      </c>
      <c r="L20" s="171">
        <f t="shared" si="6"/>
        <v>2031</v>
      </c>
      <c r="M20" s="171">
        <f t="shared" si="6"/>
        <v>2032</v>
      </c>
      <c r="N20" s="171">
        <f t="shared" si="6"/>
        <v>2033</v>
      </c>
      <c r="O20" s="171">
        <f t="shared" si="6"/>
        <v>2034</v>
      </c>
      <c r="P20" s="171">
        <f t="shared" si="6"/>
        <v>2035</v>
      </c>
      <c r="Q20" s="171">
        <f t="shared" si="6"/>
        <v>2036</v>
      </c>
      <c r="R20" s="171">
        <f t="shared" si="6"/>
        <v>2037</v>
      </c>
      <c r="S20" s="171">
        <f t="shared" si="6"/>
        <v>2038</v>
      </c>
      <c r="T20" s="171">
        <f t="shared" si="6"/>
        <v>2039</v>
      </c>
      <c r="U20" s="171">
        <f t="shared" si="6"/>
        <v>2040</v>
      </c>
      <c r="V20" s="171">
        <f t="shared" si="6"/>
        <v>2041</v>
      </c>
      <c r="W20" s="171">
        <f t="shared" si="6"/>
        <v>2042</v>
      </c>
      <c r="X20" s="171">
        <f t="shared" si="6"/>
        <v>2043</v>
      </c>
      <c r="Y20" s="171">
        <f t="shared" si="6"/>
        <v>2044</v>
      </c>
      <c r="Z20" s="171">
        <f t="shared" si="6"/>
        <v>2045</v>
      </c>
      <c r="AA20" s="171">
        <f t="shared" si="6"/>
        <v>2046</v>
      </c>
      <c r="AB20" s="171">
        <f t="shared" si="6"/>
        <v>2047</v>
      </c>
      <c r="AC20" s="171">
        <f t="shared" si="6"/>
        <v>2048</v>
      </c>
      <c r="AD20" s="171">
        <f t="shared" si="6"/>
        <v>2049</v>
      </c>
      <c r="AE20" s="171">
        <f t="shared" si="6"/>
        <v>2050</v>
      </c>
      <c r="AF20" s="171">
        <f t="shared" si="6"/>
        <v>2051</v>
      </c>
      <c r="AG20" s="171">
        <f t="shared" ref="AG20" si="7">AG4</f>
        <v>2052</v>
      </c>
    </row>
    <row r="21" spans="2:33">
      <c r="B21" s="3" t="s">
        <v>354</v>
      </c>
      <c r="C21" s="180">
        <f>SUM(D21:AG21)</f>
        <v>585446725.01902246</v>
      </c>
      <c r="D21" s="180">
        <f>D13-D5</f>
        <v>0</v>
      </c>
      <c r="E21" s="180">
        <f t="shared" ref="E21:AF22" si="8">E13-E5</f>
        <v>0</v>
      </c>
      <c r="F21" s="180">
        <f t="shared" si="8"/>
        <v>0</v>
      </c>
      <c r="G21" s="180">
        <f t="shared" si="8"/>
        <v>0</v>
      </c>
      <c r="H21" s="180">
        <f t="shared" si="8"/>
        <v>6098199.0814804994</v>
      </c>
      <c r="I21" s="180">
        <f t="shared" si="8"/>
        <v>16669748.157206506</v>
      </c>
      <c r="J21" s="180">
        <f t="shared" si="8"/>
        <v>17503235.565066826</v>
      </c>
      <c r="K21" s="180">
        <f t="shared" si="8"/>
        <v>18378397.343320165</v>
      </c>
      <c r="L21" s="180">
        <f t="shared" si="8"/>
        <v>19297317.210486174</v>
      </c>
      <c r="M21" s="180">
        <f t="shared" si="8"/>
        <v>19683263.554695897</v>
      </c>
      <c r="N21" s="180">
        <f t="shared" si="8"/>
        <v>20076928.825789817</v>
      </c>
      <c r="O21" s="180">
        <f t="shared" si="8"/>
        <v>20478467.402305614</v>
      </c>
      <c r="P21" s="180">
        <f t="shared" si="8"/>
        <v>20888036.750351734</v>
      </c>
      <c r="Q21" s="180">
        <f t="shared" si="8"/>
        <v>21305797.485358775</v>
      </c>
      <c r="R21" s="180">
        <f t="shared" si="8"/>
        <v>21731913.435065947</v>
      </c>
      <c r="S21" s="180">
        <f t="shared" si="8"/>
        <v>22166551.70376727</v>
      </c>
      <c r="T21" s="180">
        <f t="shared" si="8"/>
        <v>22609882.737842619</v>
      </c>
      <c r="U21" s="180">
        <f t="shared" si="8"/>
        <v>23062080.392599471</v>
      </c>
      <c r="V21" s="180">
        <f t="shared" si="8"/>
        <v>23523322.00045146</v>
      </c>
      <c r="W21" s="180">
        <f t="shared" si="8"/>
        <v>23993788.440460488</v>
      </c>
      <c r="X21" s="180">
        <f t="shared" si="8"/>
        <v>24473664.209269702</v>
      </c>
      <c r="Y21" s="180">
        <f t="shared" si="8"/>
        <v>24963137.493455097</v>
      </c>
      <c r="Z21" s="180">
        <f t="shared" si="8"/>
        <v>25462400.24332419</v>
      </c>
      <c r="AA21" s="180">
        <f t="shared" si="8"/>
        <v>25971648.248190679</v>
      </c>
      <c r="AB21" s="180">
        <f t="shared" si="8"/>
        <v>26491081.213154502</v>
      </c>
      <c r="AC21" s="180">
        <f t="shared" si="8"/>
        <v>27020902.837417595</v>
      </c>
      <c r="AD21" s="180">
        <f t="shared" si="8"/>
        <v>27561320.894165933</v>
      </c>
      <c r="AE21" s="180">
        <f t="shared" si="8"/>
        <v>28112547.312049262</v>
      </c>
      <c r="AF21" s="180">
        <f t="shared" si="8"/>
        <v>28674798.258290239</v>
      </c>
      <c r="AG21" s="180">
        <f t="shared" ref="AG21" si="9">AG13-AG5</f>
        <v>29248294.22345601</v>
      </c>
    </row>
    <row r="22" spans="2:33">
      <c r="B22" s="3" t="s">
        <v>55</v>
      </c>
      <c r="C22" s="180">
        <f>SUM(D22:AG22)</f>
        <v>0</v>
      </c>
      <c r="D22" s="180">
        <f>D14-D6</f>
        <v>0</v>
      </c>
      <c r="E22" s="180">
        <f t="shared" si="8"/>
        <v>0</v>
      </c>
      <c r="F22" s="180">
        <f t="shared" si="8"/>
        <v>0</v>
      </c>
      <c r="G22" s="180">
        <f t="shared" si="8"/>
        <v>0</v>
      </c>
      <c r="H22" s="180">
        <f t="shared" si="8"/>
        <v>0</v>
      </c>
      <c r="I22" s="180">
        <f t="shared" si="8"/>
        <v>0</v>
      </c>
      <c r="J22" s="180">
        <f t="shared" si="8"/>
        <v>0</v>
      </c>
      <c r="K22" s="180">
        <f t="shared" si="8"/>
        <v>0</v>
      </c>
      <c r="L22" s="180">
        <f t="shared" si="8"/>
        <v>0</v>
      </c>
      <c r="M22" s="180">
        <f t="shared" si="8"/>
        <v>0</v>
      </c>
      <c r="N22" s="180">
        <f t="shared" si="8"/>
        <v>0</v>
      </c>
      <c r="O22" s="180">
        <f t="shared" si="8"/>
        <v>0</v>
      </c>
      <c r="P22" s="180">
        <f t="shared" si="8"/>
        <v>0</v>
      </c>
      <c r="Q22" s="180">
        <f t="shared" si="8"/>
        <v>0</v>
      </c>
      <c r="R22" s="180">
        <f t="shared" si="8"/>
        <v>0</v>
      </c>
      <c r="S22" s="180">
        <f t="shared" si="8"/>
        <v>0</v>
      </c>
      <c r="T22" s="180">
        <f t="shared" si="8"/>
        <v>0</v>
      </c>
      <c r="U22" s="180">
        <f t="shared" si="8"/>
        <v>0</v>
      </c>
      <c r="V22" s="180">
        <f t="shared" si="8"/>
        <v>0</v>
      </c>
      <c r="W22" s="180">
        <f t="shared" si="8"/>
        <v>0</v>
      </c>
      <c r="X22" s="180">
        <f t="shared" si="8"/>
        <v>0</v>
      </c>
      <c r="Y22" s="180">
        <f t="shared" si="8"/>
        <v>0</v>
      </c>
      <c r="Z22" s="180">
        <f t="shared" si="8"/>
        <v>0</v>
      </c>
      <c r="AA22" s="180">
        <f t="shared" si="8"/>
        <v>0</v>
      </c>
      <c r="AB22" s="180">
        <f t="shared" si="8"/>
        <v>0</v>
      </c>
      <c r="AC22" s="180">
        <f t="shared" si="8"/>
        <v>0</v>
      </c>
      <c r="AD22" s="180">
        <f t="shared" si="8"/>
        <v>0</v>
      </c>
      <c r="AE22" s="180">
        <f t="shared" si="8"/>
        <v>0</v>
      </c>
      <c r="AF22" s="180">
        <f t="shared" si="8"/>
        <v>0</v>
      </c>
      <c r="AG22" s="180">
        <f t="shared" ref="AG22" si="10">AG14-AG6</f>
        <v>0</v>
      </c>
    </row>
    <row r="23" spans="2:33">
      <c r="B23" s="4" t="s">
        <v>11</v>
      </c>
      <c r="C23" s="184">
        <f>SUM(D23:AG23)</f>
        <v>585446725.01902246</v>
      </c>
      <c r="D23" s="184">
        <f>SUM(D21:D22)</f>
        <v>0</v>
      </c>
      <c r="E23" s="184">
        <f t="shared" ref="E23:AF23" si="11">SUM(E21:E22)</f>
        <v>0</v>
      </c>
      <c r="F23" s="184">
        <f t="shared" si="11"/>
        <v>0</v>
      </c>
      <c r="G23" s="184">
        <f t="shared" si="11"/>
        <v>0</v>
      </c>
      <c r="H23" s="184">
        <f t="shared" si="11"/>
        <v>6098199.0814804994</v>
      </c>
      <c r="I23" s="184">
        <f t="shared" si="11"/>
        <v>16669748.157206506</v>
      </c>
      <c r="J23" s="184">
        <f t="shared" si="11"/>
        <v>17503235.565066826</v>
      </c>
      <c r="K23" s="184">
        <f t="shared" si="11"/>
        <v>18378397.343320165</v>
      </c>
      <c r="L23" s="184">
        <f t="shared" si="11"/>
        <v>19297317.210486174</v>
      </c>
      <c r="M23" s="184">
        <f t="shared" si="11"/>
        <v>19683263.554695897</v>
      </c>
      <c r="N23" s="184">
        <f t="shared" si="11"/>
        <v>20076928.825789817</v>
      </c>
      <c r="O23" s="184">
        <f t="shared" si="11"/>
        <v>20478467.402305614</v>
      </c>
      <c r="P23" s="184">
        <f t="shared" si="11"/>
        <v>20888036.750351734</v>
      </c>
      <c r="Q23" s="184">
        <f t="shared" si="11"/>
        <v>21305797.485358775</v>
      </c>
      <c r="R23" s="184">
        <f t="shared" si="11"/>
        <v>21731913.435065947</v>
      </c>
      <c r="S23" s="184">
        <f t="shared" si="11"/>
        <v>22166551.70376727</v>
      </c>
      <c r="T23" s="184">
        <f t="shared" si="11"/>
        <v>22609882.737842619</v>
      </c>
      <c r="U23" s="184">
        <f t="shared" si="11"/>
        <v>23062080.392599471</v>
      </c>
      <c r="V23" s="184">
        <f t="shared" si="11"/>
        <v>23523322.00045146</v>
      </c>
      <c r="W23" s="184">
        <f t="shared" si="11"/>
        <v>23993788.440460488</v>
      </c>
      <c r="X23" s="184">
        <f t="shared" si="11"/>
        <v>24473664.209269702</v>
      </c>
      <c r="Y23" s="184">
        <f t="shared" si="11"/>
        <v>24963137.493455097</v>
      </c>
      <c r="Z23" s="184">
        <f t="shared" si="11"/>
        <v>25462400.24332419</v>
      </c>
      <c r="AA23" s="184">
        <f t="shared" si="11"/>
        <v>25971648.248190679</v>
      </c>
      <c r="AB23" s="184">
        <f t="shared" si="11"/>
        <v>26491081.213154502</v>
      </c>
      <c r="AC23" s="184">
        <f t="shared" si="11"/>
        <v>27020902.837417595</v>
      </c>
      <c r="AD23" s="184">
        <f t="shared" si="11"/>
        <v>27561320.894165933</v>
      </c>
      <c r="AE23" s="184">
        <f t="shared" si="11"/>
        <v>28112547.312049262</v>
      </c>
      <c r="AF23" s="184">
        <f t="shared" si="11"/>
        <v>28674798.258290239</v>
      </c>
      <c r="AG23" s="184">
        <f t="shared" ref="AG23" si="12">SUM(AG21:AG22)</f>
        <v>29248294.22345601</v>
      </c>
    </row>
    <row r="25" spans="2:33">
      <c r="E25" s="332"/>
      <c r="F25" s="332"/>
      <c r="G25" s="332"/>
      <c r="H25" s="332"/>
      <c r="I25" s="332"/>
      <c r="J25" s="332"/>
      <c r="K25" s="332"/>
      <c r="L25" s="332"/>
      <c r="M25" s="332"/>
      <c r="N25" s="332"/>
      <c r="O25" s="332"/>
      <c r="P25" s="332"/>
      <c r="Q25" s="332"/>
      <c r="R25" s="332"/>
      <c r="S25" s="332"/>
      <c r="T25" s="332"/>
      <c r="U25" s="332"/>
      <c r="V25" s="332"/>
      <c r="W25" s="332"/>
      <c r="X25" s="332"/>
      <c r="Y25" s="332"/>
      <c r="Z25" s="332"/>
      <c r="AA25" s="332"/>
      <c r="AB25" s="332"/>
      <c r="AC25" s="332"/>
      <c r="AD25" s="332"/>
      <c r="AE25" s="332"/>
      <c r="AF25" s="332"/>
      <c r="AG25" s="332"/>
    </row>
    <row r="26" spans="2:33">
      <c r="E26" s="332"/>
      <c r="F26" s="332"/>
      <c r="G26" s="332"/>
      <c r="H26" s="332"/>
      <c r="I26" s="332"/>
      <c r="J26" s="332"/>
      <c r="K26" s="332"/>
      <c r="L26" s="332"/>
      <c r="M26" s="332"/>
      <c r="N26" s="332"/>
      <c r="O26" s="332"/>
      <c r="P26" s="332"/>
      <c r="Q26" s="332"/>
      <c r="R26" s="332"/>
      <c r="S26" s="332"/>
      <c r="T26" s="332"/>
      <c r="U26" s="332"/>
      <c r="V26" s="332"/>
      <c r="W26" s="332"/>
      <c r="X26" s="332"/>
      <c r="Y26" s="332"/>
      <c r="Z26" s="332"/>
      <c r="AA26" s="332"/>
      <c r="AB26" s="332"/>
      <c r="AC26" s="332"/>
      <c r="AD26" s="332"/>
      <c r="AE26" s="332"/>
      <c r="AF26" s="332"/>
      <c r="AG26" s="332"/>
    </row>
  </sheetData>
  <sheetProtection algorithmName="SHA-512" hashValue="JrU30ky+zYuTg19MuVfH+eOyNQIV0eQ3hSDgt4DL0I6LqYJkYR1WOOyTHL1+2ctjNm6FRJUU1RXL7CJgyB4LMA==" saltValue="D9bduRyw0y958rYgd6DlMA==" spinCount="100000" sheet="1" objects="1" scenarios="1"/>
  <pageMargins left="0.22604166666666667" right="0.24062500000000001" top="1" bottom="1" header="0.5" footer="0.5"/>
  <pageSetup paperSize="9" scale="75" orientation="landscape" r:id="rId1"/>
  <headerFooter alignWithMargins="0">
    <oddHeader>&amp;LPríloha 7: Štandardné tabuľky - Cesty
&amp;"Arial,Tučné"&amp;12 04 Príjmy</oddHeader>
    <oddFooter>Strana &amp;P z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EC38A-7289-4A70-B15A-F136ED3FEE72}">
  <sheetPr>
    <tabColor rgb="FFFFC000"/>
  </sheetPr>
  <dimension ref="B2:AG23"/>
  <sheetViews>
    <sheetView zoomScale="80" zoomScaleNormal="80" workbookViewId="0">
      <selection activeCell="F6" sqref="F6:F7"/>
    </sheetView>
  </sheetViews>
  <sheetFormatPr defaultColWidth="9.140625" defaultRowHeight="11.25"/>
  <cols>
    <col min="1" max="1" width="2.42578125" style="2" customWidth="1"/>
    <col min="2" max="2" width="30.7109375" style="2" customWidth="1"/>
    <col min="3" max="3" width="14.42578125" style="2" customWidth="1"/>
    <col min="4" max="4" width="15" style="2" customWidth="1"/>
    <col min="5" max="5" width="8" style="2" bestFit="1" customWidth="1"/>
    <col min="6" max="7" width="11.42578125" style="2" customWidth="1"/>
    <col min="8" max="9" width="13.7109375" style="2" customWidth="1"/>
    <col min="10" max="16" width="11.42578125" style="2" customWidth="1"/>
    <col min="17" max="33" width="8" style="2" bestFit="1" customWidth="1"/>
    <col min="34" max="16384" width="9.140625" style="2"/>
  </cols>
  <sheetData>
    <row r="2" spans="2:33">
      <c r="B2" s="6" t="s">
        <v>14</v>
      </c>
      <c r="C2" s="124" t="s">
        <v>25</v>
      </c>
      <c r="D2" s="124" t="s">
        <v>26</v>
      </c>
    </row>
    <row r="3" spans="2:33">
      <c r="B3" s="3" t="s">
        <v>271</v>
      </c>
      <c r="C3" s="205">
        <f>'01 Investičné výdavky - nákup'!C10</f>
        <v>399750000</v>
      </c>
      <c r="D3" s="206">
        <f>'06 Finančná analýza - nákup'!C5</f>
        <v>338560093.43951398</v>
      </c>
      <c r="F3" s="2" t="s">
        <v>238</v>
      </c>
    </row>
    <row r="4" spans="2:33">
      <c r="B4" s="3" t="s">
        <v>15</v>
      </c>
      <c r="C4" s="205">
        <f>'06 Finančná analýza - nákup'!AG8</f>
        <v>152373000</v>
      </c>
      <c r="D4" s="206">
        <f>'06 Finančná analýza - nákup'!C8</f>
        <v>48858618.010918543</v>
      </c>
    </row>
    <row r="5" spans="2:33">
      <c r="B5" s="3" t="s">
        <v>222</v>
      </c>
      <c r="C5" s="205">
        <f>'04 Prevádzkové príjmy - nákup'!C23</f>
        <v>585446725.01902246</v>
      </c>
      <c r="D5" s="206">
        <f>'06 Finančná analýza - nákup'!C7</f>
        <v>301628118.67788249</v>
      </c>
    </row>
    <row r="6" spans="2:33">
      <c r="B6" s="3" t="s">
        <v>59</v>
      </c>
      <c r="C6" s="205">
        <f>-'03 Prevádzkové výdavky nákup'!C32</f>
        <v>542673830</v>
      </c>
      <c r="D6" s="206">
        <f>'06 Finančná analýza - nákup'!C6</f>
        <v>-407700506.89612502</v>
      </c>
      <c r="F6" s="835" t="s">
        <v>726</v>
      </c>
    </row>
    <row r="7" spans="2:33">
      <c r="B7" s="3" t="s">
        <v>270</v>
      </c>
      <c r="C7" s="207"/>
      <c r="D7" s="206">
        <f>IF(D5&gt;D6,D4+D5-D6,0)</f>
        <v>758187243.58492613</v>
      </c>
      <c r="F7" s="835" t="s">
        <v>727</v>
      </c>
    </row>
    <row r="8" spans="2:33">
      <c r="B8" s="3" t="s">
        <v>272</v>
      </c>
      <c r="C8" s="208"/>
      <c r="D8" s="206">
        <f>D3-D7</f>
        <v>-419627150.14541215</v>
      </c>
    </row>
    <row r="9" spans="2:33">
      <c r="B9" s="3" t="s">
        <v>273</v>
      </c>
      <c r="C9" s="136"/>
      <c r="D9" s="209">
        <f>D8/D3</f>
        <v>-1.239446580612376</v>
      </c>
    </row>
    <row r="12" spans="2:33">
      <c r="B12" s="3" t="s">
        <v>223</v>
      </c>
      <c r="C12" s="180">
        <f>'01 Investičné výdavky - nákup'!C16</f>
        <v>399750000</v>
      </c>
    </row>
    <row r="13" spans="2:33">
      <c r="B13" s="12"/>
    </row>
    <row r="14" spans="2:33">
      <c r="B14" s="12"/>
    </row>
    <row r="15" spans="2:33">
      <c r="B15" s="3"/>
      <c r="C15" s="3"/>
      <c r="D15" s="3" t="s">
        <v>10</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2:33">
      <c r="B16" s="4"/>
      <c r="C16" s="4"/>
      <c r="D16" s="5">
        <v>1</v>
      </c>
      <c r="E16" s="5">
        <v>2</v>
      </c>
      <c r="F16" s="5">
        <v>3</v>
      </c>
      <c r="G16" s="5">
        <v>4</v>
      </c>
      <c r="H16" s="5">
        <v>5</v>
      </c>
      <c r="I16" s="5">
        <v>6</v>
      </c>
      <c r="J16" s="5">
        <v>7</v>
      </c>
      <c r="K16" s="5">
        <v>8</v>
      </c>
      <c r="L16" s="5">
        <v>9</v>
      </c>
      <c r="M16" s="5">
        <v>10</v>
      </c>
      <c r="N16" s="5">
        <v>11</v>
      </c>
      <c r="O16" s="5">
        <v>12</v>
      </c>
      <c r="P16" s="5">
        <v>13</v>
      </c>
      <c r="Q16" s="5">
        <v>14</v>
      </c>
      <c r="R16" s="5">
        <v>15</v>
      </c>
      <c r="S16" s="5">
        <v>16</v>
      </c>
      <c r="T16" s="5">
        <v>17</v>
      </c>
      <c r="U16" s="5">
        <v>18</v>
      </c>
      <c r="V16" s="5">
        <v>19</v>
      </c>
      <c r="W16" s="5">
        <v>20</v>
      </c>
      <c r="X16" s="5">
        <v>21</v>
      </c>
      <c r="Y16" s="5">
        <v>22</v>
      </c>
      <c r="Z16" s="5">
        <v>23</v>
      </c>
      <c r="AA16" s="5">
        <v>24</v>
      </c>
      <c r="AB16" s="5">
        <v>25</v>
      </c>
      <c r="AC16" s="5">
        <v>26</v>
      </c>
      <c r="AD16" s="5">
        <v>27</v>
      </c>
      <c r="AE16" s="5">
        <v>28</v>
      </c>
      <c r="AF16" s="5">
        <v>29</v>
      </c>
      <c r="AG16" s="5">
        <v>30</v>
      </c>
    </row>
    <row r="17" spans="2:33">
      <c r="B17" s="6" t="s">
        <v>241</v>
      </c>
      <c r="C17" s="124" t="s">
        <v>9</v>
      </c>
      <c r="D17" s="7">
        <f>2023</f>
        <v>2023</v>
      </c>
      <c r="E17" s="7">
        <f>$D$17+D16</f>
        <v>2024</v>
      </c>
      <c r="F17" s="7">
        <f t="shared" ref="F17:AG17" si="0">$D$17+E16</f>
        <v>2025</v>
      </c>
      <c r="G17" s="7">
        <f t="shared" si="0"/>
        <v>2026</v>
      </c>
      <c r="H17" s="7">
        <f t="shared" si="0"/>
        <v>2027</v>
      </c>
      <c r="I17" s="7">
        <f t="shared" si="0"/>
        <v>2028</v>
      </c>
      <c r="J17" s="7">
        <f t="shared" si="0"/>
        <v>2029</v>
      </c>
      <c r="K17" s="7">
        <f t="shared" si="0"/>
        <v>2030</v>
      </c>
      <c r="L17" s="7">
        <f t="shared" si="0"/>
        <v>2031</v>
      </c>
      <c r="M17" s="7">
        <f t="shared" si="0"/>
        <v>2032</v>
      </c>
      <c r="N17" s="7">
        <f t="shared" si="0"/>
        <v>2033</v>
      </c>
      <c r="O17" s="7">
        <f t="shared" si="0"/>
        <v>2034</v>
      </c>
      <c r="P17" s="7">
        <f t="shared" si="0"/>
        <v>2035</v>
      </c>
      <c r="Q17" s="7">
        <f t="shared" si="0"/>
        <v>2036</v>
      </c>
      <c r="R17" s="7">
        <f t="shared" si="0"/>
        <v>2037</v>
      </c>
      <c r="S17" s="7">
        <f t="shared" si="0"/>
        <v>2038</v>
      </c>
      <c r="T17" s="7">
        <f t="shared" si="0"/>
        <v>2039</v>
      </c>
      <c r="U17" s="7">
        <f t="shared" si="0"/>
        <v>2040</v>
      </c>
      <c r="V17" s="7">
        <f t="shared" si="0"/>
        <v>2041</v>
      </c>
      <c r="W17" s="7">
        <f t="shared" si="0"/>
        <v>2042</v>
      </c>
      <c r="X17" s="7">
        <f t="shared" si="0"/>
        <v>2043</v>
      </c>
      <c r="Y17" s="7">
        <f t="shared" si="0"/>
        <v>2044</v>
      </c>
      <c r="Z17" s="7">
        <f t="shared" si="0"/>
        <v>2045</v>
      </c>
      <c r="AA17" s="7">
        <f t="shared" si="0"/>
        <v>2046</v>
      </c>
      <c r="AB17" s="7">
        <f t="shared" si="0"/>
        <v>2047</v>
      </c>
      <c r="AC17" s="7">
        <f t="shared" si="0"/>
        <v>2048</v>
      </c>
      <c r="AD17" s="7">
        <f t="shared" si="0"/>
        <v>2049</v>
      </c>
      <c r="AE17" s="7">
        <f t="shared" si="0"/>
        <v>2050</v>
      </c>
      <c r="AF17" s="7">
        <f t="shared" si="0"/>
        <v>2051</v>
      </c>
      <c r="AG17" s="7">
        <f t="shared" si="0"/>
        <v>2052</v>
      </c>
    </row>
    <row r="18" spans="2:33">
      <c r="B18" s="3" t="s">
        <v>60</v>
      </c>
      <c r="C18" s="180">
        <f>SUM(D18:AG18)</f>
        <v>399750000</v>
      </c>
      <c r="D18" s="180">
        <f>'01 Investičné výdavky - nákup'!D10</f>
        <v>0</v>
      </c>
      <c r="E18" s="180">
        <f>'01 Investičné výdavky - nákup'!E10</f>
        <v>0</v>
      </c>
      <c r="F18" s="180">
        <f>'01 Investičné výdavky - nákup'!F10</f>
        <v>10380000</v>
      </c>
      <c r="G18" s="180">
        <f>'01 Investičné výdavky - nákup'!G10</f>
        <v>41520000</v>
      </c>
      <c r="H18" s="180">
        <f>'01 Investičné výdavky - nákup'!H10</f>
        <v>186900000</v>
      </c>
      <c r="I18" s="180">
        <f>'01 Investičné výdavky - nákup'!I10</f>
        <v>160950000</v>
      </c>
      <c r="J18" s="180">
        <f>'01 Investičné výdavky - nákup'!J10</f>
        <v>0</v>
      </c>
      <c r="K18" s="180">
        <f>'01 Investičné výdavky - nákup'!K10</f>
        <v>0</v>
      </c>
      <c r="L18" s="180">
        <f>'01 Investičné výdavky - nákup'!L10</f>
        <v>0</v>
      </c>
      <c r="M18" s="180">
        <f>'01 Investičné výdavky - nákup'!M10</f>
        <v>0</v>
      </c>
      <c r="N18" s="180">
        <f>'01 Investičné výdavky - nákup'!N10</f>
        <v>0</v>
      </c>
      <c r="O18" s="180">
        <f>'01 Investičné výdavky - nákup'!O10</f>
        <v>0</v>
      </c>
      <c r="P18" s="180">
        <f>'01 Investičné výdavky - nákup'!P10</f>
        <v>0</v>
      </c>
      <c r="Q18" s="180">
        <f>'01 Investičné výdavky - nákup'!Q10</f>
        <v>0</v>
      </c>
      <c r="R18" s="180">
        <f>'01 Investičné výdavky - nákup'!R10</f>
        <v>0</v>
      </c>
      <c r="S18" s="180">
        <f>'01 Investičné výdavky - nákup'!S10</f>
        <v>0</v>
      </c>
      <c r="T18" s="180">
        <f>'01 Investičné výdavky - nákup'!T10</f>
        <v>0</v>
      </c>
      <c r="U18" s="180">
        <f>'01 Investičné výdavky - nákup'!U10</f>
        <v>0</v>
      </c>
      <c r="V18" s="180">
        <f>'01 Investičné výdavky - nákup'!V10</f>
        <v>0</v>
      </c>
      <c r="W18" s="180">
        <f>'01 Investičné výdavky - nákup'!W10</f>
        <v>0</v>
      </c>
      <c r="X18" s="180">
        <f>'01 Investičné výdavky - nákup'!X10</f>
        <v>0</v>
      </c>
      <c r="Y18" s="180">
        <f>'01 Investičné výdavky - nákup'!Y10</f>
        <v>0</v>
      </c>
      <c r="Z18" s="180">
        <f>'01 Investičné výdavky - nákup'!Z10</f>
        <v>0</v>
      </c>
      <c r="AA18" s="180">
        <f>'01 Investičné výdavky - nákup'!AA10</f>
        <v>0</v>
      </c>
      <c r="AB18" s="180">
        <f>'01 Investičné výdavky - nákup'!AB10</f>
        <v>0</v>
      </c>
      <c r="AC18" s="180">
        <f>'01 Investičné výdavky - nákup'!AC10</f>
        <v>0</v>
      </c>
      <c r="AD18" s="180">
        <f>'01 Investičné výdavky - nákup'!AD10</f>
        <v>0</v>
      </c>
      <c r="AE18" s="180">
        <f>'01 Investičné výdavky - nákup'!AE10</f>
        <v>0</v>
      </c>
      <c r="AF18" s="180">
        <f>'01 Investičné výdavky - nákup'!AF10</f>
        <v>0</v>
      </c>
      <c r="AG18" s="180">
        <f>'01 Investičné výdavky - nákup'!AG10</f>
        <v>0</v>
      </c>
    </row>
    <row r="19" spans="2:33">
      <c r="B19" s="3" t="s">
        <v>242</v>
      </c>
      <c r="C19" s="180">
        <f>SUM(D19:AG19)</f>
        <v>453876375.5250001</v>
      </c>
      <c r="D19" s="182">
        <f>'01 Investičné výdavky - nákup'!D44</f>
        <v>0</v>
      </c>
      <c r="E19" s="182">
        <f>'01 Investičné výdavky - nákup'!E44</f>
        <v>0</v>
      </c>
      <c r="F19" s="182">
        <f>'01 Investičné výdavky - nákup'!F44</f>
        <v>30621</v>
      </c>
      <c r="G19" s="182">
        <f>'01 Investičné výdavky - nákup'!G44</f>
        <v>1961962.7250000001</v>
      </c>
      <c r="H19" s="182">
        <f>'01 Investičné výdavky - nákup'!H44</f>
        <v>9731903.896428572</v>
      </c>
      <c r="I19" s="182">
        <f>'01 Investičné výdavky - nákup'!I44</f>
        <v>42534783.753571436</v>
      </c>
      <c r="J19" s="182">
        <f>'01 Investičné výdavky - nákup'!J44</f>
        <v>69354861.646428585</v>
      </c>
      <c r="K19" s="182">
        <f>'01 Investičné výdavky - nákup'!K44</f>
        <v>67267744.717857152</v>
      </c>
      <c r="L19" s="182">
        <f>'01 Investičné výdavky - nákup'!L44</f>
        <v>65180627.789285719</v>
      </c>
      <c r="M19" s="182">
        <f>'01 Investičné výdavky - nákup'!M44</f>
        <v>63093510.860714294</v>
      </c>
      <c r="N19" s="182">
        <f>'01 Investičné výdavky - nákup'!N44</f>
        <v>59543622.70714286</v>
      </c>
      <c r="O19" s="182">
        <f>'01 Investičné výdavky - nákup'!O44</f>
        <v>51661366.607142858</v>
      </c>
      <c r="P19" s="182">
        <f>'01 Investičné výdavky - nákup'!P44</f>
        <v>23515369.821428601</v>
      </c>
      <c r="Q19" s="182">
        <f>'01 Investičné výdavky - nákup'!Q44</f>
        <v>0</v>
      </c>
      <c r="R19" s="182">
        <f>'01 Investičné výdavky - nákup'!R44</f>
        <v>0</v>
      </c>
      <c r="S19" s="182">
        <f>'01 Investičné výdavky - nákup'!S44</f>
        <v>0</v>
      </c>
      <c r="T19" s="182">
        <f>'01 Investičné výdavky - nákup'!T44</f>
        <v>0</v>
      </c>
      <c r="U19" s="182">
        <f>'01 Investičné výdavky - nákup'!U44</f>
        <v>0</v>
      </c>
      <c r="V19" s="182">
        <f>'01 Investičné výdavky - nákup'!V44</f>
        <v>0</v>
      </c>
      <c r="W19" s="182">
        <f>'01 Investičné výdavky - nákup'!W44</f>
        <v>0</v>
      </c>
      <c r="X19" s="182">
        <f>'01 Investičné výdavky - nákup'!X44</f>
        <v>0</v>
      </c>
      <c r="Y19" s="182">
        <f>'01 Investičné výdavky - nákup'!Y44</f>
        <v>0</v>
      </c>
      <c r="Z19" s="182">
        <f>'01 Investičné výdavky - nákup'!Z44</f>
        <v>0</v>
      </c>
      <c r="AA19" s="182">
        <f>'01 Investičné výdavky - nákup'!AA44</f>
        <v>0</v>
      </c>
      <c r="AB19" s="182">
        <f>'01 Investičné výdavky - nákup'!AB44</f>
        <v>0</v>
      </c>
      <c r="AC19" s="182">
        <f>'01 Investičné výdavky - nákup'!AC44</f>
        <v>0</v>
      </c>
      <c r="AD19" s="182">
        <f>'01 Investičné výdavky - nákup'!AD44</f>
        <v>0</v>
      </c>
      <c r="AE19" s="182">
        <f>'01 Investičné výdavky - nákup'!AE44</f>
        <v>0</v>
      </c>
      <c r="AF19" s="182">
        <f>'01 Investičné výdavky - nákup'!AF44</f>
        <v>0</v>
      </c>
      <c r="AG19" s="182">
        <f>'01 Investičné výdavky - nákup'!AG44</f>
        <v>0</v>
      </c>
    </row>
    <row r="20" spans="2:33" hidden="1">
      <c r="B20" s="3" t="s">
        <v>236</v>
      </c>
      <c r="C20" s="180" t="e">
        <f t="shared" ref="C20:C21" si="1">SUM(D20:AG20)</f>
        <v>#REF!</v>
      </c>
      <c r="D20" s="180" t="e">
        <f>$D$9*#REF!*'01 Investičné výdavky - nákup'!D17</f>
        <v>#REF!</v>
      </c>
      <c r="E20" s="180" t="e">
        <f>$D$9*#REF!*'01 Investičné výdavky - nákup'!E17</f>
        <v>#REF!</v>
      </c>
      <c r="F20" s="180" t="e">
        <f>$D$9*#REF!*'01 Investičné výdavky - nákup'!F17</f>
        <v>#REF!</v>
      </c>
      <c r="G20" s="180" t="e">
        <f>$D$9*#REF!*'01 Investičné výdavky - nákup'!G17</f>
        <v>#REF!</v>
      </c>
      <c r="H20" s="180" t="e">
        <f>$D$9*#REF!*'01 Investičné výdavky - nákup'!H17</f>
        <v>#REF!</v>
      </c>
      <c r="I20" s="180" t="e">
        <f>$D$9*#REF!*'01 Investičné výdavky - nákup'!I17</f>
        <v>#REF!</v>
      </c>
      <c r="J20" s="180" t="e">
        <f>$D$9*#REF!*'01 Investičné výdavky - nákup'!J17</f>
        <v>#REF!</v>
      </c>
      <c r="K20" s="180" t="e">
        <f>$D$9*#REF!*'01 Investičné výdavky - nákup'!K17</f>
        <v>#REF!</v>
      </c>
      <c r="L20" s="180" t="e">
        <f>$D$9*#REF!*'01 Investičné výdavky - nákup'!L17</f>
        <v>#REF!</v>
      </c>
      <c r="M20" s="180" t="e">
        <f>$D$9*#REF!*'01 Investičné výdavky - nákup'!M17</f>
        <v>#REF!</v>
      </c>
      <c r="N20" s="180" t="e">
        <f>$D$9*#REF!*'01 Investičné výdavky - nákup'!N17</f>
        <v>#REF!</v>
      </c>
      <c r="O20" s="180" t="e">
        <f>$D$9*#REF!*'01 Investičné výdavky - nákup'!O17</f>
        <v>#REF!</v>
      </c>
      <c r="P20" s="180" t="e">
        <f>$D$9*#REF!*'01 Investičné výdavky - nákup'!P17</f>
        <v>#REF!</v>
      </c>
      <c r="Q20" s="180" t="e">
        <f>$D$9*#REF!*'01 Investičné výdavky - nákup'!Q17</f>
        <v>#REF!</v>
      </c>
      <c r="R20" s="180" t="e">
        <f>$D$9*#REF!*'01 Investičné výdavky - nákup'!R17</f>
        <v>#REF!</v>
      </c>
      <c r="S20" s="180" t="e">
        <f>$D$9*#REF!*'01 Investičné výdavky - nákup'!S17</f>
        <v>#REF!</v>
      </c>
      <c r="T20" s="180" t="e">
        <f>$D$9*#REF!*'01 Investičné výdavky - nákup'!T17</f>
        <v>#REF!</v>
      </c>
      <c r="U20" s="180" t="e">
        <f>$D$9*#REF!*'01 Investičné výdavky - nákup'!U17</f>
        <v>#REF!</v>
      </c>
      <c r="V20" s="180" t="e">
        <f>$D$9*#REF!*'01 Investičné výdavky - nákup'!V17</f>
        <v>#REF!</v>
      </c>
      <c r="W20" s="180" t="e">
        <f>$D$9*#REF!*'01 Investičné výdavky - nákup'!W17</f>
        <v>#REF!</v>
      </c>
      <c r="X20" s="180" t="e">
        <f>$D$9*#REF!*'01 Investičné výdavky - nákup'!X17</f>
        <v>#REF!</v>
      </c>
      <c r="Y20" s="180" t="e">
        <f>$D$9*#REF!*'01 Investičné výdavky - nákup'!Y17</f>
        <v>#REF!</v>
      </c>
      <c r="Z20" s="180" t="e">
        <f>$D$9*#REF!*'01 Investičné výdavky - nákup'!Z17</f>
        <v>#REF!</v>
      </c>
      <c r="AA20" s="180" t="e">
        <f>$D$9*#REF!*'01 Investičné výdavky - nákup'!AA17</f>
        <v>#REF!</v>
      </c>
      <c r="AB20" s="180" t="e">
        <f>$D$9*#REF!*'01 Investičné výdavky - nákup'!AB17</f>
        <v>#REF!</v>
      </c>
      <c r="AC20" s="180" t="e">
        <f>$D$9*#REF!*'01 Investičné výdavky - nákup'!AC17</f>
        <v>#REF!</v>
      </c>
      <c r="AD20" s="180" t="e">
        <f>$D$9*#REF!*'01 Investičné výdavky - nákup'!AD17</f>
        <v>#REF!</v>
      </c>
      <c r="AE20" s="180" t="e">
        <f>$D$9*#REF!*'01 Investičné výdavky - nákup'!AE17</f>
        <v>#REF!</v>
      </c>
      <c r="AF20" s="180" t="e">
        <f>$D$9*#REF!*'01 Investičné výdavky - nákup'!AF17</f>
        <v>#REF!</v>
      </c>
      <c r="AG20" s="180" t="e">
        <f>$D$9*#REF!*'01 Investičné výdavky - nákup'!AG17</f>
        <v>#REF!</v>
      </c>
    </row>
    <row r="21" spans="2:33" hidden="1">
      <c r="B21" s="3" t="s">
        <v>237</v>
      </c>
      <c r="C21" s="180">
        <f t="shared" si="1"/>
        <v>0</v>
      </c>
      <c r="D21" s="180">
        <v>0</v>
      </c>
      <c r="E21" s="180">
        <v>0</v>
      </c>
      <c r="F21" s="180">
        <v>0</v>
      </c>
      <c r="G21" s="180">
        <v>0</v>
      </c>
      <c r="H21" s="180">
        <v>0</v>
      </c>
      <c r="I21" s="180">
        <v>0</v>
      </c>
      <c r="J21" s="180">
        <v>0</v>
      </c>
      <c r="K21" s="180">
        <v>0</v>
      </c>
      <c r="L21" s="180">
        <v>0</v>
      </c>
      <c r="M21" s="180">
        <v>0</v>
      </c>
      <c r="N21" s="180">
        <v>0</v>
      </c>
      <c r="O21" s="180">
        <v>0</v>
      </c>
      <c r="P21" s="180">
        <v>0</v>
      </c>
      <c r="Q21" s="180">
        <v>0</v>
      </c>
      <c r="R21" s="180">
        <v>0</v>
      </c>
      <c r="S21" s="180">
        <v>0</v>
      </c>
      <c r="T21" s="180">
        <v>0</v>
      </c>
      <c r="U21" s="180">
        <v>0</v>
      </c>
      <c r="V21" s="180">
        <v>0</v>
      </c>
      <c r="W21" s="180">
        <v>0</v>
      </c>
      <c r="X21" s="180">
        <v>0</v>
      </c>
      <c r="Y21" s="180">
        <v>0</v>
      </c>
      <c r="Z21" s="180">
        <v>0</v>
      </c>
      <c r="AA21" s="180">
        <v>0</v>
      </c>
      <c r="AB21" s="180">
        <v>0</v>
      </c>
      <c r="AC21" s="180">
        <v>0</v>
      </c>
      <c r="AD21" s="180">
        <v>0</v>
      </c>
      <c r="AE21" s="180">
        <v>0</v>
      </c>
      <c r="AF21" s="180">
        <v>0</v>
      </c>
      <c r="AG21" s="180">
        <v>0</v>
      </c>
    </row>
    <row r="22" spans="2:33" hidden="1">
      <c r="B22" s="1" t="s">
        <v>240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2:33" hidden="1">
      <c r="B23" s="1" t="s">
        <v>243</v>
      </c>
    </row>
  </sheetData>
  <sheetProtection algorithmName="SHA-512" hashValue="RQlr6r9PdkrlSYtimzZ6PzfGf7/Re+qWQ0PtNQ438sN9AQ7yUMhSPymaIMvnv5F2LHRoX/HE5SJb6ZxgF5ZkJg==" saltValue="BsjN+M3DgzNOQoQXcIq0Hw==" spinCount="100000" sheet="1" objects="1" scenarios="1"/>
  <pageMargins left="0.1953125" right="0.34375" top="1" bottom="1" header="0.5" footer="0.5"/>
  <pageSetup scale="75" orientation="landscape" r:id="rId1"/>
  <headerFooter alignWithMargins="0">
    <oddFooter>Strana &amp;P z &amp;N</oddFooter>
  </headerFooter>
  <ignoredErrors>
    <ignoredError sqref="C20:AG20" evalError="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B038-D7F8-4964-9B1E-E3A38C73F7FA}">
  <sheetPr>
    <tabColor rgb="FFFFC000"/>
  </sheetPr>
  <dimension ref="B2:AG60"/>
  <sheetViews>
    <sheetView zoomScaleNormal="100" workbookViewId="0">
      <selection activeCell="D23" sqref="D23"/>
    </sheetView>
  </sheetViews>
  <sheetFormatPr defaultColWidth="9.140625" defaultRowHeight="11.25"/>
  <cols>
    <col min="1" max="1" width="2.7109375" style="2" customWidth="1"/>
    <col min="2" max="2" width="44.7109375" style="2" customWidth="1"/>
    <col min="3" max="3" width="15.42578125" style="2" customWidth="1"/>
    <col min="4" max="33" width="15.7109375" style="2" customWidth="1"/>
    <col min="34" max="34" width="5" style="2" bestFit="1" customWidth="1"/>
    <col min="35" max="16384" width="9.140625" style="2"/>
  </cols>
  <sheetData>
    <row r="2" spans="2:33">
      <c r="B2" s="12" t="s">
        <v>21</v>
      </c>
      <c r="C2" s="12"/>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c r="C3" s="15" t="s">
        <v>9</v>
      </c>
      <c r="D3" s="5">
        <v>1</v>
      </c>
      <c r="E3" s="5">
        <v>2</v>
      </c>
      <c r="F3" s="5">
        <v>3</v>
      </c>
      <c r="G3" s="5">
        <v>4</v>
      </c>
      <c r="H3" s="5">
        <v>5</v>
      </c>
      <c r="I3" s="5">
        <v>6</v>
      </c>
      <c r="J3" s="5">
        <v>7</v>
      </c>
      <c r="K3" s="5">
        <v>8</v>
      </c>
      <c r="L3" s="5">
        <v>9</v>
      </c>
      <c r="M3" s="5">
        <v>10</v>
      </c>
      <c r="N3" s="5">
        <v>11</v>
      </c>
      <c r="O3" s="5">
        <v>12</v>
      </c>
      <c r="P3" s="5">
        <v>13</v>
      </c>
      <c r="Q3" s="5">
        <v>14</v>
      </c>
      <c r="R3" s="5">
        <v>15</v>
      </c>
      <c r="S3" s="5">
        <v>16</v>
      </c>
      <c r="T3" s="5">
        <v>17</v>
      </c>
      <c r="U3" s="5">
        <v>18</v>
      </c>
      <c r="V3" s="5">
        <v>19</v>
      </c>
      <c r="W3" s="5">
        <v>20</v>
      </c>
      <c r="X3" s="5">
        <v>21</v>
      </c>
      <c r="Y3" s="5">
        <v>22</v>
      </c>
      <c r="Z3" s="5">
        <v>23</v>
      </c>
      <c r="AA3" s="5">
        <v>24</v>
      </c>
      <c r="AB3" s="5">
        <v>25</v>
      </c>
      <c r="AC3" s="5">
        <v>26</v>
      </c>
      <c r="AD3" s="5">
        <v>27</v>
      </c>
      <c r="AE3" s="5">
        <v>28</v>
      </c>
      <c r="AF3" s="5">
        <v>29</v>
      </c>
      <c r="AG3" s="5">
        <v>30</v>
      </c>
    </row>
    <row r="4" spans="2:33">
      <c r="B4" s="6" t="s">
        <v>37</v>
      </c>
      <c r="C4" s="124" t="s">
        <v>232</v>
      </c>
      <c r="D4" s="7">
        <f>Parametre!C13</f>
        <v>2023</v>
      </c>
      <c r="E4" s="7">
        <f>$D$4+D3</f>
        <v>2024</v>
      </c>
      <c r="F4" s="7">
        <f>$D$4+E3</f>
        <v>2025</v>
      </c>
      <c r="G4" s="7">
        <f t="shared" ref="G4:AF4" si="0">$D$4+F3</f>
        <v>2026</v>
      </c>
      <c r="H4" s="7">
        <f t="shared" si="0"/>
        <v>2027</v>
      </c>
      <c r="I4" s="7">
        <f t="shared" si="0"/>
        <v>2028</v>
      </c>
      <c r="J4" s="7">
        <f t="shared" si="0"/>
        <v>2029</v>
      </c>
      <c r="K4" s="7">
        <f t="shared" si="0"/>
        <v>2030</v>
      </c>
      <c r="L4" s="7">
        <f t="shared" si="0"/>
        <v>2031</v>
      </c>
      <c r="M4" s="7">
        <f t="shared" si="0"/>
        <v>2032</v>
      </c>
      <c r="N4" s="7">
        <f t="shared" si="0"/>
        <v>2033</v>
      </c>
      <c r="O4" s="7">
        <f t="shared" si="0"/>
        <v>2034</v>
      </c>
      <c r="P4" s="7">
        <f t="shared" si="0"/>
        <v>2035</v>
      </c>
      <c r="Q4" s="7">
        <f t="shared" si="0"/>
        <v>2036</v>
      </c>
      <c r="R4" s="7">
        <f t="shared" si="0"/>
        <v>2037</v>
      </c>
      <c r="S4" s="7">
        <f t="shared" si="0"/>
        <v>2038</v>
      </c>
      <c r="T4" s="7">
        <f t="shared" si="0"/>
        <v>2039</v>
      </c>
      <c r="U4" s="7">
        <f t="shared" si="0"/>
        <v>2040</v>
      </c>
      <c r="V4" s="7">
        <f t="shared" si="0"/>
        <v>2041</v>
      </c>
      <c r="W4" s="7">
        <f t="shared" si="0"/>
        <v>2042</v>
      </c>
      <c r="X4" s="7">
        <f t="shared" si="0"/>
        <v>2043</v>
      </c>
      <c r="Y4" s="7">
        <f t="shared" si="0"/>
        <v>2044</v>
      </c>
      <c r="Z4" s="7">
        <f t="shared" si="0"/>
        <v>2045</v>
      </c>
      <c r="AA4" s="7">
        <f t="shared" si="0"/>
        <v>2046</v>
      </c>
      <c r="AB4" s="7">
        <f t="shared" si="0"/>
        <v>2047</v>
      </c>
      <c r="AC4" s="7">
        <f t="shared" si="0"/>
        <v>2048</v>
      </c>
      <c r="AD4" s="7">
        <f t="shared" si="0"/>
        <v>2049</v>
      </c>
      <c r="AE4" s="7">
        <f t="shared" si="0"/>
        <v>2050</v>
      </c>
      <c r="AF4" s="7">
        <f t="shared" si="0"/>
        <v>2051</v>
      </c>
      <c r="AG4" s="7">
        <f t="shared" ref="AG4" si="1">$D$4+AF3</f>
        <v>2052</v>
      </c>
    </row>
    <row r="5" spans="2:33">
      <c r="B5" s="3" t="s">
        <v>60</v>
      </c>
      <c r="C5" s="194">
        <f>D5+NPV(Parametre!$C$9,'06 Finančná analýza - nákup'!E5:AG5)</f>
        <v>338560093.43951398</v>
      </c>
      <c r="D5" s="180">
        <f>'01 Investičné výdavky - nákup'!D10</f>
        <v>0</v>
      </c>
      <c r="E5" s="180">
        <f>'01 Investičné výdavky - nákup'!E10</f>
        <v>0</v>
      </c>
      <c r="F5" s="180">
        <f>'01 Investičné výdavky - nákup'!F10</f>
        <v>10380000</v>
      </c>
      <c r="G5" s="180">
        <f>'01 Investičné výdavky - nákup'!G10</f>
        <v>41520000</v>
      </c>
      <c r="H5" s="180">
        <f>'01 Investičné výdavky - nákup'!H10</f>
        <v>186900000</v>
      </c>
      <c r="I5" s="180">
        <f>'01 Investičné výdavky - nákup'!I10</f>
        <v>160950000</v>
      </c>
      <c r="J5" s="180">
        <f>'01 Investičné výdavky - nákup'!J10</f>
        <v>0</v>
      </c>
      <c r="K5" s="180">
        <f>'01 Investičné výdavky - nákup'!K10</f>
        <v>0</v>
      </c>
      <c r="L5" s="180">
        <f>'01 Investičné výdavky - nákup'!L10</f>
        <v>0</v>
      </c>
      <c r="M5" s="180">
        <f>'01 Investičné výdavky - nákup'!M10</f>
        <v>0</v>
      </c>
      <c r="N5" s="180">
        <f>'01 Investičné výdavky - nákup'!N10</f>
        <v>0</v>
      </c>
      <c r="O5" s="180">
        <f>'01 Investičné výdavky - nákup'!O10</f>
        <v>0</v>
      </c>
      <c r="P5" s="180">
        <f>'01 Investičné výdavky - nákup'!P10</f>
        <v>0</v>
      </c>
      <c r="Q5" s="180">
        <f>'01 Investičné výdavky - nákup'!Q10</f>
        <v>0</v>
      </c>
      <c r="R5" s="180">
        <f>'01 Investičné výdavky - nákup'!R10</f>
        <v>0</v>
      </c>
      <c r="S5" s="180">
        <f>'01 Investičné výdavky - nákup'!S10</f>
        <v>0</v>
      </c>
      <c r="T5" s="180">
        <f>'01 Investičné výdavky - nákup'!T10</f>
        <v>0</v>
      </c>
      <c r="U5" s="180">
        <f>'01 Investičné výdavky - nákup'!U10</f>
        <v>0</v>
      </c>
      <c r="V5" s="180">
        <f>'01 Investičné výdavky - nákup'!V10</f>
        <v>0</v>
      </c>
      <c r="W5" s="180">
        <f>'01 Investičné výdavky - nákup'!W10</f>
        <v>0</v>
      </c>
      <c r="X5" s="180">
        <f>'01 Investičné výdavky - nákup'!X10</f>
        <v>0</v>
      </c>
      <c r="Y5" s="180">
        <f>'01 Investičné výdavky - nákup'!Y10</f>
        <v>0</v>
      </c>
      <c r="Z5" s="180">
        <f>'01 Investičné výdavky - nákup'!Z10</f>
        <v>0</v>
      </c>
      <c r="AA5" s="180">
        <f>'01 Investičné výdavky - nákup'!AA10</f>
        <v>0</v>
      </c>
      <c r="AB5" s="180">
        <f>'01 Investičné výdavky - nákup'!AB10</f>
        <v>0</v>
      </c>
      <c r="AC5" s="180">
        <f>'01 Investičné výdavky - nákup'!AC10</f>
        <v>0</v>
      </c>
      <c r="AD5" s="180">
        <f>'01 Investičné výdavky - nákup'!AD10</f>
        <v>0</v>
      </c>
      <c r="AE5" s="180">
        <f>'01 Investičné výdavky - nákup'!AE10</f>
        <v>0</v>
      </c>
      <c r="AF5" s="180">
        <f>'01 Investičné výdavky - nákup'!AF10</f>
        <v>0</v>
      </c>
      <c r="AG5" s="180">
        <f>'01 Investičné výdavky - nákup'!AG10</f>
        <v>0</v>
      </c>
    </row>
    <row r="6" spans="2:33">
      <c r="B6" s="3" t="s">
        <v>59</v>
      </c>
      <c r="C6" s="194">
        <f>D6+NPV(Parametre!$C$9,'06 Finančná analýza - nákup'!E6:AG6)</f>
        <v>-407700506.89612502</v>
      </c>
      <c r="D6" s="180">
        <f>'03 Prevádzkové výdavky nákup'!D32</f>
        <v>0</v>
      </c>
      <c r="E6" s="180">
        <f>'03 Prevádzkové výdavky nákup'!E32</f>
        <v>0</v>
      </c>
      <c r="F6" s="180">
        <f>'03 Prevádzkové výdavky nákup'!F32</f>
        <v>-1524040</v>
      </c>
      <c r="G6" s="180">
        <f>'03 Prevádzkové výdavky nákup'!G32</f>
        <v>-66321480</v>
      </c>
      <c r="H6" s="180">
        <f>'03 Prevádzkové výdavky nákup'!H32</f>
        <v>-111679310</v>
      </c>
      <c r="I6" s="180">
        <f>'03 Prevádzkové výdavky nákup'!I32</f>
        <v>-114485960</v>
      </c>
      <c r="J6" s="180">
        <f>'03 Prevádzkové výdavky nákup'!J32</f>
        <v>-114485960</v>
      </c>
      <c r="K6" s="180">
        <f>'03 Prevádzkové výdavky nákup'!K32</f>
        <v>-2985960</v>
      </c>
      <c r="L6" s="180">
        <f>'03 Prevádzkové výdavky nákup'!L32</f>
        <v>-2985960</v>
      </c>
      <c r="M6" s="180">
        <f>'03 Prevádzkové výdavky nákup'!M32</f>
        <v>-2985960</v>
      </c>
      <c r="N6" s="180">
        <f>'03 Prevádzkové výdavky nákup'!N32</f>
        <v>-2985960</v>
      </c>
      <c r="O6" s="180">
        <f>'03 Prevádzkové výdavky nákup'!O32</f>
        <v>-2985960</v>
      </c>
      <c r="P6" s="180">
        <f>'03 Prevádzkové výdavky nákup'!P32</f>
        <v>-2985960</v>
      </c>
      <c r="Q6" s="180">
        <f>'03 Prevádzkové výdavky nákup'!Q32</f>
        <v>-2985960</v>
      </c>
      <c r="R6" s="180">
        <f>'03 Prevádzkové výdavky nákup'!R32</f>
        <v>-2985960</v>
      </c>
      <c r="S6" s="180">
        <f>'03 Prevádzkové výdavky nákup'!S32</f>
        <v>-2985960</v>
      </c>
      <c r="T6" s="180">
        <f>'03 Prevádzkové výdavky nákup'!T32</f>
        <v>-2985960</v>
      </c>
      <c r="U6" s="180">
        <f>'03 Prevádzkové výdavky nákup'!U32</f>
        <v>-2985960</v>
      </c>
      <c r="V6" s="180">
        <f>'03 Prevádzkové výdavky nákup'!V32</f>
        <v>-20985960</v>
      </c>
      <c r="W6" s="180">
        <f>'03 Prevádzkové výdavky nákup'!W32</f>
        <v>-26585960</v>
      </c>
      <c r="X6" s="180">
        <f>'03 Prevádzkové výdavky nákup'!X32</f>
        <v>-26585960</v>
      </c>
      <c r="Y6" s="180">
        <f>'03 Prevádzkové výdavky nákup'!Y32</f>
        <v>-26585960</v>
      </c>
      <c r="Z6" s="180">
        <f>'03 Prevádzkové výdavky nákup'!Z32</f>
        <v>2414040</v>
      </c>
      <c r="AA6" s="180">
        <f>'03 Prevádzkové výdavky nákup'!AA32</f>
        <v>2414040</v>
      </c>
      <c r="AB6" s="180">
        <f>'03 Prevádzkové výdavky nákup'!AB32</f>
        <v>-485960</v>
      </c>
      <c r="AC6" s="180">
        <f>'03 Prevádzkové výdavky nákup'!AC32</f>
        <v>-485960</v>
      </c>
      <c r="AD6" s="180">
        <f>'03 Prevádzkové výdavky nákup'!AD32</f>
        <v>-485960</v>
      </c>
      <c r="AE6" s="180">
        <f>'03 Prevádzkové výdavky nákup'!AE32</f>
        <v>-485960</v>
      </c>
      <c r="AF6" s="180">
        <f>'03 Prevádzkové výdavky nákup'!AF32</f>
        <v>-485960</v>
      </c>
      <c r="AG6" s="180">
        <f>'03 Prevádzkové výdavky nákup'!AG32</f>
        <v>-2985960</v>
      </c>
    </row>
    <row r="7" spans="2:33">
      <c r="B7" s="3" t="s">
        <v>222</v>
      </c>
      <c r="C7" s="194">
        <f>D7+NPV(Parametre!$C$9,'06 Finančná analýza - nákup'!E7:AG7)</f>
        <v>301628118.67788249</v>
      </c>
      <c r="D7" s="180">
        <f>'04 Prevádzkové príjmy - nákup'!D23</f>
        <v>0</v>
      </c>
      <c r="E7" s="180">
        <f>'04 Prevádzkové príjmy - nákup'!E23</f>
        <v>0</v>
      </c>
      <c r="F7" s="180">
        <f>'04 Prevádzkové príjmy - nákup'!F23</f>
        <v>0</v>
      </c>
      <c r="G7" s="180">
        <f>'04 Prevádzkové príjmy - nákup'!G23</f>
        <v>0</v>
      </c>
      <c r="H7" s="180">
        <f>'04 Prevádzkové príjmy - nákup'!H23</f>
        <v>6098199.0814804994</v>
      </c>
      <c r="I7" s="180">
        <f>'04 Prevádzkové príjmy - nákup'!I23</f>
        <v>16669748.157206506</v>
      </c>
      <c r="J7" s="180">
        <f>'04 Prevádzkové príjmy - nákup'!J23</f>
        <v>17503235.565066826</v>
      </c>
      <c r="K7" s="180">
        <f>'04 Prevádzkové príjmy - nákup'!K23</f>
        <v>18378397.343320165</v>
      </c>
      <c r="L7" s="180">
        <f>'04 Prevádzkové príjmy - nákup'!L23</f>
        <v>19297317.210486174</v>
      </c>
      <c r="M7" s="180">
        <f>'04 Prevádzkové príjmy - nákup'!M23</f>
        <v>19683263.554695897</v>
      </c>
      <c r="N7" s="180">
        <f>'04 Prevádzkové príjmy - nákup'!N23</f>
        <v>20076928.825789817</v>
      </c>
      <c r="O7" s="180">
        <f>'04 Prevádzkové príjmy - nákup'!O23</f>
        <v>20478467.402305614</v>
      </c>
      <c r="P7" s="180">
        <f>'04 Prevádzkové príjmy - nákup'!P23</f>
        <v>20888036.750351734</v>
      </c>
      <c r="Q7" s="180">
        <f>'04 Prevádzkové príjmy - nákup'!Q23</f>
        <v>21305797.485358775</v>
      </c>
      <c r="R7" s="180">
        <f>'04 Prevádzkové príjmy - nákup'!R23</f>
        <v>21731913.435065947</v>
      </c>
      <c r="S7" s="180">
        <f>'04 Prevádzkové príjmy - nákup'!S23</f>
        <v>22166551.70376727</v>
      </c>
      <c r="T7" s="180">
        <f>'04 Prevádzkové príjmy - nákup'!T23</f>
        <v>22609882.737842619</v>
      </c>
      <c r="U7" s="180">
        <f>'04 Prevádzkové príjmy - nákup'!U23</f>
        <v>23062080.392599471</v>
      </c>
      <c r="V7" s="180">
        <f>'04 Prevádzkové príjmy - nákup'!V23</f>
        <v>23523322.00045146</v>
      </c>
      <c r="W7" s="180">
        <f>'04 Prevádzkové príjmy - nákup'!W23</f>
        <v>23993788.440460488</v>
      </c>
      <c r="X7" s="180">
        <f>'04 Prevádzkové príjmy - nákup'!X23</f>
        <v>24473664.209269702</v>
      </c>
      <c r="Y7" s="180">
        <f>'04 Prevádzkové príjmy - nákup'!Y23</f>
        <v>24963137.493455097</v>
      </c>
      <c r="Z7" s="180">
        <f>'04 Prevádzkové príjmy - nákup'!Z23</f>
        <v>25462400.24332419</v>
      </c>
      <c r="AA7" s="180">
        <f>'04 Prevádzkové príjmy - nákup'!AA23</f>
        <v>25971648.248190679</v>
      </c>
      <c r="AB7" s="180">
        <f>'04 Prevádzkové príjmy - nákup'!AB23</f>
        <v>26491081.213154502</v>
      </c>
      <c r="AC7" s="180">
        <f>'04 Prevádzkové príjmy - nákup'!AC23</f>
        <v>27020902.837417595</v>
      </c>
      <c r="AD7" s="180">
        <f>'04 Prevádzkové príjmy - nákup'!AD23</f>
        <v>27561320.894165933</v>
      </c>
      <c r="AE7" s="180">
        <f>'04 Prevádzkové príjmy - nákup'!AE23</f>
        <v>28112547.312049262</v>
      </c>
      <c r="AF7" s="180">
        <f>'04 Prevádzkové príjmy - nákup'!AF23</f>
        <v>28674798.258290239</v>
      </c>
      <c r="AG7" s="180">
        <f>'04 Prevádzkové príjmy - nákup'!AG23</f>
        <v>29248294.22345601</v>
      </c>
    </row>
    <row r="8" spans="2:33" ht="12" thickBot="1">
      <c r="B8" s="22" t="s">
        <v>15</v>
      </c>
      <c r="C8" s="194">
        <f>D8+NPV(Parametre!$C$9,'06 Finančná analýza - nákup'!E8:AG8)</f>
        <v>48858618.010918543</v>
      </c>
      <c r="D8" s="195">
        <v>0</v>
      </c>
      <c r="E8" s="195">
        <v>0</v>
      </c>
      <c r="F8" s="195">
        <v>0</v>
      </c>
      <c r="G8" s="195">
        <v>0</v>
      </c>
      <c r="H8" s="195">
        <v>0</v>
      </c>
      <c r="I8" s="195">
        <v>0</v>
      </c>
      <c r="J8" s="195">
        <v>0</v>
      </c>
      <c r="K8" s="195">
        <v>0</v>
      </c>
      <c r="L8" s="195">
        <v>0</v>
      </c>
      <c r="M8" s="195">
        <v>0</v>
      </c>
      <c r="N8" s="195">
        <v>0</v>
      </c>
      <c r="O8" s="195">
        <v>0</v>
      </c>
      <c r="P8" s="195">
        <v>0</v>
      </c>
      <c r="Q8" s="195">
        <v>0</v>
      </c>
      <c r="R8" s="195">
        <v>0</v>
      </c>
      <c r="S8" s="195">
        <v>0</v>
      </c>
      <c r="T8" s="195">
        <v>0</v>
      </c>
      <c r="U8" s="195">
        <v>0</v>
      </c>
      <c r="V8" s="195">
        <v>0</v>
      </c>
      <c r="W8" s="195">
        <v>0</v>
      </c>
      <c r="X8" s="195">
        <v>0</v>
      </c>
      <c r="Y8" s="195">
        <v>0</v>
      </c>
      <c r="Z8" s="195">
        <v>0</v>
      </c>
      <c r="AA8" s="195">
        <v>0</v>
      </c>
      <c r="AB8" s="195">
        <v>0</v>
      </c>
      <c r="AC8" s="195">
        <v>0</v>
      </c>
      <c r="AD8" s="195">
        <v>0</v>
      </c>
      <c r="AE8" s="195">
        <v>0</v>
      </c>
      <c r="AF8" s="195">
        <v>0</v>
      </c>
      <c r="AG8" s="196">
        <f>'02 Zostatková hodnota - nákup'!H11</f>
        <v>152373000</v>
      </c>
    </row>
    <row r="9" spans="2:33" ht="12" thickTop="1">
      <c r="B9" s="18" t="s">
        <v>38</v>
      </c>
      <c r="C9" s="197">
        <f>D9+NPV(Parametre!$C$9,'06 Finančná analýza - nákup'!E9:AG9)</f>
        <v>419627150.14541209</v>
      </c>
      <c r="D9" s="193">
        <f>-D5-D6+D7+D8</f>
        <v>0</v>
      </c>
      <c r="E9" s="193">
        <f t="shared" ref="E9:AF9" si="2">-E5-E6+E7+E8</f>
        <v>0</v>
      </c>
      <c r="F9" s="193">
        <f t="shared" si="2"/>
        <v>-8855960</v>
      </c>
      <c r="G9" s="193">
        <f t="shared" si="2"/>
        <v>24801480</v>
      </c>
      <c r="H9" s="193">
        <f t="shared" si="2"/>
        <v>-69122490.918519497</v>
      </c>
      <c r="I9" s="193">
        <f t="shared" si="2"/>
        <v>-29794291.842793494</v>
      </c>
      <c r="J9" s="193">
        <f t="shared" si="2"/>
        <v>131989195.56506683</v>
      </c>
      <c r="K9" s="193">
        <f t="shared" si="2"/>
        <v>21364357.343320165</v>
      </c>
      <c r="L9" s="193">
        <f t="shared" si="2"/>
        <v>22283277.210486174</v>
      </c>
      <c r="M9" s="193">
        <f t="shared" si="2"/>
        <v>22669223.554695897</v>
      </c>
      <c r="N9" s="193">
        <f t="shared" si="2"/>
        <v>23062888.825789817</v>
      </c>
      <c r="O9" s="193">
        <f t="shared" si="2"/>
        <v>23464427.402305614</v>
      </c>
      <c r="P9" s="193">
        <f t="shared" si="2"/>
        <v>23873996.750351734</v>
      </c>
      <c r="Q9" s="193">
        <f t="shared" si="2"/>
        <v>24291757.485358775</v>
      </c>
      <c r="R9" s="193">
        <f t="shared" si="2"/>
        <v>24717873.435065947</v>
      </c>
      <c r="S9" s="193">
        <f t="shared" si="2"/>
        <v>25152511.70376727</v>
      </c>
      <c r="T9" s="193">
        <f t="shared" si="2"/>
        <v>25595842.737842619</v>
      </c>
      <c r="U9" s="193">
        <f t="shared" si="2"/>
        <v>26048040.392599471</v>
      </c>
      <c r="V9" s="193">
        <f t="shared" si="2"/>
        <v>44509282.00045146</v>
      </c>
      <c r="W9" s="193">
        <f t="shared" si="2"/>
        <v>50579748.440460488</v>
      </c>
      <c r="X9" s="193">
        <f t="shared" si="2"/>
        <v>51059624.209269702</v>
      </c>
      <c r="Y9" s="193">
        <f t="shared" si="2"/>
        <v>51549097.493455097</v>
      </c>
      <c r="Z9" s="193">
        <f t="shared" si="2"/>
        <v>23048360.24332419</v>
      </c>
      <c r="AA9" s="193">
        <f t="shared" si="2"/>
        <v>23557608.248190679</v>
      </c>
      <c r="AB9" s="193">
        <f t="shared" si="2"/>
        <v>26977041.213154502</v>
      </c>
      <c r="AC9" s="193">
        <f t="shared" si="2"/>
        <v>27506862.837417595</v>
      </c>
      <c r="AD9" s="193">
        <f t="shared" si="2"/>
        <v>28047280.894165933</v>
      </c>
      <c r="AE9" s="193">
        <f t="shared" si="2"/>
        <v>28598507.312049262</v>
      </c>
      <c r="AF9" s="193">
        <f t="shared" si="2"/>
        <v>29160758.258290239</v>
      </c>
      <c r="AG9" s="193">
        <f t="shared" ref="AG9" si="3">-AG5-AG6+AG7+AG8</f>
        <v>184607254.22345603</v>
      </c>
    </row>
    <row r="11" spans="2:33">
      <c r="B11" s="21" t="s">
        <v>17</v>
      </c>
      <c r="C11" s="200">
        <f>D9+(NPV(Parametre!$C$9,E9:AG9))</f>
        <v>419627150.14541209</v>
      </c>
      <c r="D11" s="2" t="s">
        <v>0</v>
      </c>
      <c r="E11" s="20"/>
    </row>
    <row r="12" spans="2:33">
      <c r="B12" s="21" t="s">
        <v>18</v>
      </c>
      <c r="C12" s="201">
        <f>IRR(D9:AG9,1)</f>
        <v>0.55728325666490108</v>
      </c>
    </row>
    <row r="15" spans="2:33">
      <c r="B15" s="12" t="s">
        <v>22</v>
      </c>
      <c r="C15" s="12"/>
      <c r="D15" s="3" t="s">
        <v>10</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2:33">
      <c r="B16" s="4"/>
      <c r="C16" s="15" t="s">
        <v>9</v>
      </c>
      <c r="D16" s="5">
        <v>1</v>
      </c>
      <c r="E16" s="5">
        <v>2</v>
      </c>
      <c r="F16" s="5">
        <v>3</v>
      </c>
      <c r="G16" s="5">
        <v>4</v>
      </c>
      <c r="H16" s="5">
        <v>5</v>
      </c>
      <c r="I16" s="5">
        <v>6</v>
      </c>
      <c r="J16" s="5">
        <v>7</v>
      </c>
      <c r="K16" s="5">
        <v>8</v>
      </c>
      <c r="L16" s="5">
        <v>9</v>
      </c>
      <c r="M16" s="5">
        <v>10</v>
      </c>
      <c r="N16" s="5">
        <v>11</v>
      </c>
      <c r="O16" s="5">
        <v>12</v>
      </c>
      <c r="P16" s="5">
        <v>13</v>
      </c>
      <c r="Q16" s="5">
        <v>14</v>
      </c>
      <c r="R16" s="5">
        <v>15</v>
      </c>
      <c r="S16" s="5">
        <v>16</v>
      </c>
      <c r="T16" s="5">
        <v>17</v>
      </c>
      <c r="U16" s="5">
        <v>18</v>
      </c>
      <c r="V16" s="5">
        <v>19</v>
      </c>
      <c r="W16" s="5">
        <v>20</v>
      </c>
      <c r="X16" s="5">
        <v>21</v>
      </c>
      <c r="Y16" s="5">
        <v>22</v>
      </c>
      <c r="Z16" s="5">
        <v>23</v>
      </c>
      <c r="AA16" s="5">
        <v>24</v>
      </c>
      <c r="AB16" s="5">
        <v>25</v>
      </c>
      <c r="AC16" s="5">
        <v>26</v>
      </c>
      <c r="AD16" s="5">
        <v>27</v>
      </c>
      <c r="AE16" s="5">
        <v>28</v>
      </c>
      <c r="AF16" s="5">
        <v>29</v>
      </c>
      <c r="AG16" s="5">
        <v>30</v>
      </c>
    </row>
    <row r="17" spans="2:33">
      <c r="B17" s="6" t="s">
        <v>37</v>
      </c>
      <c r="C17" s="124" t="s">
        <v>232</v>
      </c>
      <c r="D17" s="7">
        <f>D4</f>
        <v>2023</v>
      </c>
      <c r="E17" s="7">
        <f>E4</f>
        <v>2024</v>
      </c>
      <c r="F17" s="7">
        <f>F4</f>
        <v>2025</v>
      </c>
      <c r="G17" s="7">
        <f t="shared" ref="G17:AF17" si="4">G4</f>
        <v>2026</v>
      </c>
      <c r="H17" s="7">
        <f t="shared" si="4"/>
        <v>2027</v>
      </c>
      <c r="I17" s="7">
        <f t="shared" si="4"/>
        <v>2028</v>
      </c>
      <c r="J17" s="7">
        <f t="shared" si="4"/>
        <v>2029</v>
      </c>
      <c r="K17" s="7">
        <f t="shared" si="4"/>
        <v>2030</v>
      </c>
      <c r="L17" s="7">
        <f t="shared" si="4"/>
        <v>2031</v>
      </c>
      <c r="M17" s="7">
        <f t="shared" si="4"/>
        <v>2032</v>
      </c>
      <c r="N17" s="7">
        <f t="shared" si="4"/>
        <v>2033</v>
      </c>
      <c r="O17" s="7">
        <f t="shared" si="4"/>
        <v>2034</v>
      </c>
      <c r="P17" s="7">
        <f t="shared" si="4"/>
        <v>2035</v>
      </c>
      <c r="Q17" s="7">
        <f t="shared" si="4"/>
        <v>2036</v>
      </c>
      <c r="R17" s="7">
        <f t="shared" si="4"/>
        <v>2037</v>
      </c>
      <c r="S17" s="7">
        <f t="shared" si="4"/>
        <v>2038</v>
      </c>
      <c r="T17" s="7">
        <f t="shared" si="4"/>
        <v>2039</v>
      </c>
      <c r="U17" s="7">
        <f t="shared" si="4"/>
        <v>2040</v>
      </c>
      <c r="V17" s="7">
        <f t="shared" si="4"/>
        <v>2041</v>
      </c>
      <c r="W17" s="7">
        <f t="shared" si="4"/>
        <v>2042</v>
      </c>
      <c r="X17" s="7">
        <f t="shared" si="4"/>
        <v>2043</v>
      </c>
      <c r="Y17" s="7">
        <f t="shared" si="4"/>
        <v>2044</v>
      </c>
      <c r="Z17" s="7">
        <f t="shared" si="4"/>
        <v>2045</v>
      </c>
      <c r="AA17" s="7">
        <f t="shared" si="4"/>
        <v>2046</v>
      </c>
      <c r="AB17" s="7">
        <f t="shared" si="4"/>
        <v>2047</v>
      </c>
      <c r="AC17" s="7">
        <f t="shared" si="4"/>
        <v>2048</v>
      </c>
      <c r="AD17" s="7">
        <f t="shared" si="4"/>
        <v>2049</v>
      </c>
      <c r="AE17" s="7">
        <f t="shared" si="4"/>
        <v>2050</v>
      </c>
      <c r="AF17" s="7">
        <f t="shared" si="4"/>
        <v>2051</v>
      </c>
      <c r="AG17" s="7">
        <f t="shared" ref="AG17" si="5">AG4</f>
        <v>2052</v>
      </c>
    </row>
    <row r="18" spans="2:33">
      <c r="B18" s="3" t="s">
        <v>233</v>
      </c>
      <c r="C18" s="194">
        <f>D18+NPV(Parametre!$C$9,'06 Finančná analýza - nákup'!E18:AG18)</f>
        <v>0</v>
      </c>
      <c r="D18" s="180">
        <v>0</v>
      </c>
      <c r="E18" s="180">
        <v>0</v>
      </c>
      <c r="F18" s="180">
        <v>0</v>
      </c>
      <c r="G18" s="180">
        <v>0</v>
      </c>
      <c r="H18" s="180">
        <v>0</v>
      </c>
      <c r="I18" s="180">
        <v>0</v>
      </c>
      <c r="J18" s="180">
        <v>0</v>
      </c>
      <c r="K18" s="180">
        <v>0</v>
      </c>
      <c r="L18" s="180">
        <v>0</v>
      </c>
      <c r="M18" s="180">
        <v>0</v>
      </c>
      <c r="N18" s="180">
        <v>0</v>
      </c>
      <c r="O18" s="180">
        <v>0</v>
      </c>
      <c r="P18" s="180">
        <v>0</v>
      </c>
      <c r="Q18" s="180">
        <v>0</v>
      </c>
      <c r="R18" s="180">
        <v>0</v>
      </c>
      <c r="S18" s="180">
        <v>0</v>
      </c>
      <c r="T18" s="180">
        <v>0</v>
      </c>
      <c r="U18" s="180">
        <v>0</v>
      </c>
      <c r="V18" s="180">
        <v>0</v>
      </c>
      <c r="W18" s="180">
        <v>0</v>
      </c>
      <c r="X18" s="180">
        <v>0</v>
      </c>
      <c r="Y18" s="180">
        <v>0</v>
      </c>
      <c r="Z18" s="180">
        <v>0</v>
      </c>
      <c r="AA18" s="180">
        <v>0</v>
      </c>
      <c r="AB18" s="180">
        <v>0</v>
      </c>
      <c r="AC18" s="180">
        <v>0</v>
      </c>
      <c r="AD18" s="180">
        <v>0</v>
      </c>
      <c r="AE18" s="180">
        <v>0</v>
      </c>
      <c r="AF18" s="180">
        <v>0</v>
      </c>
      <c r="AG18" s="180">
        <v>0</v>
      </c>
    </row>
    <row r="19" spans="2:33">
      <c r="B19" s="3" t="s">
        <v>59</v>
      </c>
      <c r="C19" s="194">
        <f>D19+NPV(Parametre!$C$9,'06 Finančná analýza - nákup'!E19:AG19)</f>
        <v>-407700506.89612502</v>
      </c>
      <c r="D19" s="180">
        <f>'03 Prevádzkové výdavky nákup'!D32</f>
        <v>0</v>
      </c>
      <c r="E19" s="180">
        <f>'03 Prevádzkové výdavky nákup'!E32</f>
        <v>0</v>
      </c>
      <c r="F19" s="180">
        <f>'03 Prevádzkové výdavky nákup'!F32</f>
        <v>-1524040</v>
      </c>
      <c r="G19" s="180">
        <f>'03 Prevádzkové výdavky nákup'!G32</f>
        <v>-66321480</v>
      </c>
      <c r="H19" s="180">
        <f>'03 Prevádzkové výdavky nákup'!H32</f>
        <v>-111679310</v>
      </c>
      <c r="I19" s="180">
        <f>'03 Prevádzkové výdavky nákup'!I32</f>
        <v>-114485960</v>
      </c>
      <c r="J19" s="180">
        <f>'03 Prevádzkové výdavky nákup'!J32</f>
        <v>-114485960</v>
      </c>
      <c r="K19" s="180">
        <f>'03 Prevádzkové výdavky nákup'!K32</f>
        <v>-2985960</v>
      </c>
      <c r="L19" s="180">
        <f>'03 Prevádzkové výdavky nákup'!L32</f>
        <v>-2985960</v>
      </c>
      <c r="M19" s="180">
        <f>'03 Prevádzkové výdavky nákup'!M32</f>
        <v>-2985960</v>
      </c>
      <c r="N19" s="180">
        <f>'03 Prevádzkové výdavky nákup'!N32</f>
        <v>-2985960</v>
      </c>
      <c r="O19" s="180">
        <f>'03 Prevádzkové výdavky nákup'!O32</f>
        <v>-2985960</v>
      </c>
      <c r="P19" s="180">
        <f>'03 Prevádzkové výdavky nákup'!P32</f>
        <v>-2985960</v>
      </c>
      <c r="Q19" s="180">
        <f>'03 Prevádzkové výdavky nákup'!Q32</f>
        <v>-2985960</v>
      </c>
      <c r="R19" s="180">
        <f>'03 Prevádzkové výdavky nákup'!R32</f>
        <v>-2985960</v>
      </c>
      <c r="S19" s="180">
        <f>'03 Prevádzkové výdavky nákup'!S32</f>
        <v>-2985960</v>
      </c>
      <c r="T19" s="180">
        <f>'03 Prevádzkové výdavky nákup'!T32</f>
        <v>-2985960</v>
      </c>
      <c r="U19" s="180">
        <f>'03 Prevádzkové výdavky nákup'!U32</f>
        <v>-2985960</v>
      </c>
      <c r="V19" s="180">
        <f>'03 Prevádzkové výdavky nákup'!V32</f>
        <v>-20985960</v>
      </c>
      <c r="W19" s="180">
        <f>'03 Prevádzkové výdavky nákup'!W32</f>
        <v>-26585960</v>
      </c>
      <c r="X19" s="180">
        <f>'03 Prevádzkové výdavky nákup'!X32</f>
        <v>-26585960</v>
      </c>
      <c r="Y19" s="180">
        <f>'03 Prevádzkové výdavky nákup'!Y32</f>
        <v>-26585960</v>
      </c>
      <c r="Z19" s="180">
        <f>'03 Prevádzkové výdavky nákup'!Z32</f>
        <v>2414040</v>
      </c>
      <c r="AA19" s="180">
        <f>'03 Prevádzkové výdavky nákup'!AA32</f>
        <v>2414040</v>
      </c>
      <c r="AB19" s="180">
        <f>'03 Prevádzkové výdavky nákup'!AB32</f>
        <v>-485960</v>
      </c>
      <c r="AC19" s="180">
        <f>'03 Prevádzkové výdavky nákup'!AC32</f>
        <v>-485960</v>
      </c>
      <c r="AD19" s="180">
        <f>'03 Prevádzkové výdavky nákup'!AD32</f>
        <v>-485960</v>
      </c>
      <c r="AE19" s="180">
        <f>'03 Prevádzkové výdavky nákup'!AE32</f>
        <v>-485960</v>
      </c>
      <c r="AF19" s="180">
        <f>'03 Prevádzkové výdavky nákup'!AF32</f>
        <v>-485960</v>
      </c>
      <c r="AG19" s="180">
        <f>'03 Prevádzkové výdavky nákup'!AG32</f>
        <v>-2985960</v>
      </c>
    </row>
    <row r="20" spans="2:33">
      <c r="B20" s="3" t="s">
        <v>245</v>
      </c>
      <c r="C20" s="194">
        <f>D20+NPV(Parametre!$C$9,'06 Finančná analýza - nákup'!E20:AG20)</f>
        <v>331408881.94607449</v>
      </c>
      <c r="D20" s="182">
        <f>'05 Financovanie - nákup'!D19</f>
        <v>0</v>
      </c>
      <c r="E20" s="182">
        <f>'05 Financovanie - nákup'!E19</f>
        <v>0</v>
      </c>
      <c r="F20" s="182">
        <f>'05 Financovanie - nákup'!F19</f>
        <v>30621</v>
      </c>
      <c r="G20" s="182">
        <f>'05 Financovanie - nákup'!G19</f>
        <v>1961962.7250000001</v>
      </c>
      <c r="H20" s="182">
        <f>'05 Financovanie - nákup'!H19</f>
        <v>9731903.896428572</v>
      </c>
      <c r="I20" s="182">
        <f>'05 Financovanie - nákup'!I19</f>
        <v>42534783.753571436</v>
      </c>
      <c r="J20" s="182">
        <f>'05 Financovanie - nákup'!J19</f>
        <v>69354861.646428585</v>
      </c>
      <c r="K20" s="182">
        <f>'05 Financovanie - nákup'!K19</f>
        <v>67267744.717857152</v>
      </c>
      <c r="L20" s="182">
        <f>'05 Financovanie - nákup'!L19</f>
        <v>65180627.789285719</v>
      </c>
      <c r="M20" s="182">
        <f>'05 Financovanie - nákup'!M19</f>
        <v>63093510.860714294</v>
      </c>
      <c r="N20" s="182">
        <f>'05 Financovanie - nákup'!N19</f>
        <v>59543622.70714286</v>
      </c>
      <c r="O20" s="182">
        <f>'05 Financovanie - nákup'!O19</f>
        <v>51661366.607142858</v>
      </c>
      <c r="P20" s="182">
        <f>'05 Financovanie - nákup'!P19</f>
        <v>23515369.821428601</v>
      </c>
      <c r="Q20" s="182">
        <f>'05 Financovanie - nákup'!Q19</f>
        <v>0</v>
      </c>
      <c r="R20" s="182">
        <f>'05 Financovanie - nákup'!R19</f>
        <v>0</v>
      </c>
      <c r="S20" s="182">
        <f>'05 Financovanie - nákup'!S19</f>
        <v>0</v>
      </c>
      <c r="T20" s="182">
        <f>'05 Financovanie - nákup'!T19</f>
        <v>0</v>
      </c>
      <c r="U20" s="182">
        <f>'05 Financovanie - nákup'!U19</f>
        <v>0</v>
      </c>
      <c r="V20" s="182">
        <f>'05 Financovanie - nákup'!V19</f>
        <v>0</v>
      </c>
      <c r="W20" s="182">
        <f>'05 Financovanie - nákup'!W19</f>
        <v>0</v>
      </c>
      <c r="X20" s="182">
        <f>'05 Financovanie - nákup'!X19</f>
        <v>0</v>
      </c>
      <c r="Y20" s="182">
        <f>'05 Financovanie - nákup'!Y19</f>
        <v>0</v>
      </c>
      <c r="Z20" s="182">
        <f>'05 Financovanie - nákup'!Z19</f>
        <v>0</v>
      </c>
      <c r="AA20" s="182">
        <f>'05 Financovanie - nákup'!AA19</f>
        <v>0</v>
      </c>
      <c r="AB20" s="182">
        <f>'05 Financovanie - nákup'!AB19</f>
        <v>0</v>
      </c>
      <c r="AC20" s="182">
        <f>'05 Financovanie - nákup'!AC19</f>
        <v>0</v>
      </c>
      <c r="AD20" s="182">
        <f>'05 Financovanie - nákup'!AD19</f>
        <v>0</v>
      </c>
      <c r="AE20" s="182">
        <f>'05 Financovanie - nákup'!AE19</f>
        <v>0</v>
      </c>
      <c r="AF20" s="182">
        <f>'05 Financovanie - nákup'!AF19</f>
        <v>0</v>
      </c>
      <c r="AG20" s="182">
        <f>'05 Financovanie - nákup'!AG19</f>
        <v>0</v>
      </c>
    </row>
    <row r="21" spans="2:33">
      <c r="B21" s="3" t="s">
        <v>12</v>
      </c>
      <c r="C21" s="194">
        <f>D21+NPV(Parametre!$C$9,'06 Finančná analýza - nákup'!E21:AG21)</f>
        <v>301628118.67788249</v>
      </c>
      <c r="D21" s="198">
        <f>'04 Prevádzkové príjmy - nákup'!D23</f>
        <v>0</v>
      </c>
      <c r="E21" s="198">
        <f>'04 Prevádzkové príjmy - nákup'!E23</f>
        <v>0</v>
      </c>
      <c r="F21" s="198">
        <f>'04 Prevádzkové príjmy - nákup'!F23</f>
        <v>0</v>
      </c>
      <c r="G21" s="198">
        <f>'04 Prevádzkové príjmy - nákup'!G23</f>
        <v>0</v>
      </c>
      <c r="H21" s="198">
        <f>'04 Prevádzkové príjmy - nákup'!H23</f>
        <v>6098199.0814804994</v>
      </c>
      <c r="I21" s="198">
        <f>'04 Prevádzkové príjmy - nákup'!I23</f>
        <v>16669748.157206506</v>
      </c>
      <c r="J21" s="198">
        <f>'04 Prevádzkové príjmy - nákup'!J23</f>
        <v>17503235.565066826</v>
      </c>
      <c r="K21" s="198">
        <f>'04 Prevádzkové príjmy - nákup'!K23</f>
        <v>18378397.343320165</v>
      </c>
      <c r="L21" s="198">
        <f>'04 Prevádzkové príjmy - nákup'!L23</f>
        <v>19297317.210486174</v>
      </c>
      <c r="M21" s="198">
        <f>'04 Prevádzkové príjmy - nákup'!M23</f>
        <v>19683263.554695897</v>
      </c>
      <c r="N21" s="198">
        <f>'04 Prevádzkové príjmy - nákup'!N23</f>
        <v>20076928.825789817</v>
      </c>
      <c r="O21" s="198">
        <f>'04 Prevádzkové príjmy - nákup'!O23</f>
        <v>20478467.402305614</v>
      </c>
      <c r="P21" s="198">
        <f>'04 Prevádzkové príjmy - nákup'!P23</f>
        <v>20888036.750351734</v>
      </c>
      <c r="Q21" s="198">
        <f>'04 Prevádzkové príjmy - nákup'!Q23</f>
        <v>21305797.485358775</v>
      </c>
      <c r="R21" s="198">
        <f>'04 Prevádzkové príjmy - nákup'!R23</f>
        <v>21731913.435065947</v>
      </c>
      <c r="S21" s="198">
        <f>'04 Prevádzkové príjmy - nákup'!S23</f>
        <v>22166551.70376727</v>
      </c>
      <c r="T21" s="198">
        <f>'04 Prevádzkové príjmy - nákup'!T23</f>
        <v>22609882.737842619</v>
      </c>
      <c r="U21" s="198">
        <f>'04 Prevádzkové príjmy - nákup'!U23</f>
        <v>23062080.392599471</v>
      </c>
      <c r="V21" s="198">
        <f>'04 Prevádzkové príjmy - nákup'!V23</f>
        <v>23523322.00045146</v>
      </c>
      <c r="W21" s="198">
        <f>'04 Prevádzkové príjmy - nákup'!W23</f>
        <v>23993788.440460488</v>
      </c>
      <c r="X21" s="198">
        <f>'04 Prevádzkové príjmy - nákup'!X23</f>
        <v>24473664.209269702</v>
      </c>
      <c r="Y21" s="198">
        <f>'04 Prevádzkové príjmy - nákup'!Y23</f>
        <v>24963137.493455097</v>
      </c>
      <c r="Z21" s="198">
        <f>'04 Prevádzkové príjmy - nákup'!Z23</f>
        <v>25462400.24332419</v>
      </c>
      <c r="AA21" s="198">
        <f>'04 Prevádzkové príjmy - nákup'!AA23</f>
        <v>25971648.248190679</v>
      </c>
      <c r="AB21" s="198">
        <f>'04 Prevádzkové príjmy - nákup'!AB23</f>
        <v>26491081.213154502</v>
      </c>
      <c r="AC21" s="198">
        <f>'04 Prevádzkové príjmy - nákup'!AC23</f>
        <v>27020902.837417595</v>
      </c>
      <c r="AD21" s="198">
        <f>'04 Prevádzkové príjmy - nákup'!AD23</f>
        <v>27561320.894165933</v>
      </c>
      <c r="AE21" s="198">
        <f>'04 Prevádzkové príjmy - nákup'!AE23</f>
        <v>28112547.312049262</v>
      </c>
      <c r="AF21" s="198">
        <f>'04 Prevádzkové príjmy - nákup'!AF23</f>
        <v>28674798.258290239</v>
      </c>
      <c r="AG21" s="198">
        <f>'04 Prevádzkové príjmy - nákup'!AG23</f>
        <v>29248294.22345601</v>
      </c>
    </row>
    <row r="22" spans="2:33" ht="12" thickBot="1">
      <c r="B22" s="22" t="s">
        <v>15</v>
      </c>
      <c r="C22" s="194">
        <f>D22+NPV(Parametre!$C$9,'06 Finančná analýza - nákup'!E22:AG22)</f>
        <v>48858618.010918543</v>
      </c>
      <c r="D22" s="195">
        <v>0</v>
      </c>
      <c r="E22" s="195">
        <v>0</v>
      </c>
      <c r="F22" s="195">
        <v>0</v>
      </c>
      <c r="G22" s="195">
        <v>0</v>
      </c>
      <c r="H22" s="195">
        <v>0</v>
      </c>
      <c r="I22" s="195">
        <v>0</v>
      </c>
      <c r="J22" s="195">
        <v>0</v>
      </c>
      <c r="K22" s="195">
        <v>0</v>
      </c>
      <c r="L22" s="195">
        <v>0</v>
      </c>
      <c r="M22" s="195">
        <v>0</v>
      </c>
      <c r="N22" s="195">
        <v>0</v>
      </c>
      <c r="O22" s="195">
        <v>0</v>
      </c>
      <c r="P22" s="195">
        <v>0</v>
      </c>
      <c r="Q22" s="195">
        <v>0</v>
      </c>
      <c r="R22" s="195">
        <v>0</v>
      </c>
      <c r="S22" s="195">
        <v>0</v>
      </c>
      <c r="T22" s="195">
        <v>0</v>
      </c>
      <c r="U22" s="195">
        <v>0</v>
      </c>
      <c r="V22" s="195">
        <v>0</v>
      </c>
      <c r="W22" s="195">
        <v>0</v>
      </c>
      <c r="X22" s="195">
        <v>0</v>
      </c>
      <c r="Y22" s="195">
        <v>0</v>
      </c>
      <c r="Z22" s="195">
        <v>0</v>
      </c>
      <c r="AA22" s="195">
        <v>0</v>
      </c>
      <c r="AB22" s="195">
        <v>0</v>
      </c>
      <c r="AC22" s="195">
        <v>0</v>
      </c>
      <c r="AD22" s="195">
        <v>0</v>
      </c>
      <c r="AE22" s="195">
        <v>0</v>
      </c>
      <c r="AF22" s="195">
        <v>0</v>
      </c>
      <c r="AG22" s="196">
        <f>AG8</f>
        <v>152373000</v>
      </c>
    </row>
    <row r="23" spans="2:33" ht="12" thickTop="1">
      <c r="B23" s="18" t="s">
        <v>38</v>
      </c>
      <c r="C23" s="199">
        <f>D23+NPV(Parametre!$C$9,'06 Finančná analýza - nákup'!E23:AG23)</f>
        <v>426778361.63885164</v>
      </c>
      <c r="D23" s="193">
        <f>-D18-D19-D20+D21+D22</f>
        <v>0</v>
      </c>
      <c r="E23" s="193">
        <f t="shared" ref="E23:AG23" si="6">-E18-E19-E20+E21+E22</f>
        <v>0</v>
      </c>
      <c r="F23" s="193">
        <f t="shared" si="6"/>
        <v>1493419</v>
      </c>
      <c r="G23" s="193">
        <f t="shared" si="6"/>
        <v>64359517.274999999</v>
      </c>
      <c r="H23" s="193">
        <f t="shared" si="6"/>
        <v>108045605.18505193</v>
      </c>
      <c r="I23" s="193">
        <f t="shared" si="6"/>
        <v>88620924.40363507</v>
      </c>
      <c r="J23" s="193">
        <f t="shared" si="6"/>
        <v>62634333.918638244</v>
      </c>
      <c r="K23" s="193">
        <f t="shared" si="6"/>
        <v>-45903387.374536991</v>
      </c>
      <c r="L23" s="193">
        <f t="shared" si="6"/>
        <v>-42897350.578799546</v>
      </c>
      <c r="M23" s="193">
        <f t="shared" si="6"/>
        <v>-40424287.306018397</v>
      </c>
      <c r="N23" s="193">
        <f t="shared" si="6"/>
        <v>-36480733.881353043</v>
      </c>
      <c r="O23" s="193">
        <f t="shared" si="6"/>
        <v>-28196939.204837244</v>
      </c>
      <c r="P23" s="193">
        <f t="shared" si="6"/>
        <v>358626.92892313376</v>
      </c>
      <c r="Q23" s="193">
        <f t="shared" si="6"/>
        <v>24291757.485358775</v>
      </c>
      <c r="R23" s="193">
        <f t="shared" si="6"/>
        <v>24717873.435065947</v>
      </c>
      <c r="S23" s="193">
        <f t="shared" si="6"/>
        <v>25152511.70376727</v>
      </c>
      <c r="T23" s="193">
        <f t="shared" si="6"/>
        <v>25595842.737842619</v>
      </c>
      <c r="U23" s="193">
        <f t="shared" si="6"/>
        <v>26048040.392599471</v>
      </c>
      <c r="V23" s="193">
        <f t="shared" si="6"/>
        <v>44509282.00045146</v>
      </c>
      <c r="W23" s="193">
        <f t="shared" si="6"/>
        <v>50579748.440460488</v>
      </c>
      <c r="X23" s="193">
        <f t="shared" si="6"/>
        <v>51059624.209269702</v>
      </c>
      <c r="Y23" s="193">
        <f t="shared" si="6"/>
        <v>51549097.493455097</v>
      </c>
      <c r="Z23" s="193">
        <f t="shared" si="6"/>
        <v>23048360.24332419</v>
      </c>
      <c r="AA23" s="193">
        <f t="shared" si="6"/>
        <v>23557608.248190679</v>
      </c>
      <c r="AB23" s="193">
        <f t="shared" si="6"/>
        <v>26977041.213154502</v>
      </c>
      <c r="AC23" s="193">
        <f t="shared" si="6"/>
        <v>27506862.837417595</v>
      </c>
      <c r="AD23" s="193">
        <f t="shared" si="6"/>
        <v>28047280.894165933</v>
      </c>
      <c r="AE23" s="193">
        <f t="shared" si="6"/>
        <v>28598507.312049262</v>
      </c>
      <c r="AF23" s="193">
        <f t="shared" si="6"/>
        <v>29160758.258290239</v>
      </c>
      <c r="AG23" s="193">
        <f t="shared" si="6"/>
        <v>184607254.22345603</v>
      </c>
    </row>
    <row r="25" spans="2:33">
      <c r="B25" s="21" t="s">
        <v>19</v>
      </c>
      <c r="C25" s="200">
        <f>D23+(NPV(Parametre!$C$9,E23:AG23))</f>
        <v>426778361.63885164</v>
      </c>
      <c r="D25" s="20" t="s">
        <v>0</v>
      </c>
    </row>
    <row r="26" spans="2:33">
      <c r="B26" s="21" t="s">
        <v>20</v>
      </c>
      <c r="C26" s="201" t="e">
        <f>IRR(D23:AG23,1)</f>
        <v>#NUM!</v>
      </c>
    </row>
    <row r="27" spans="2:33">
      <c r="D27" s="20"/>
    </row>
    <row r="29" spans="2:33">
      <c r="B29" s="12" t="s">
        <v>235</v>
      </c>
      <c r="C29" s="12"/>
      <c r="D29" s="3" t="s">
        <v>10</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2:33">
      <c r="B30" s="4"/>
      <c r="C30" s="4"/>
      <c r="D30" s="5">
        <v>1</v>
      </c>
      <c r="E30" s="5">
        <v>2</v>
      </c>
      <c r="F30" s="5">
        <v>3</v>
      </c>
      <c r="G30" s="5">
        <v>4</v>
      </c>
      <c r="H30" s="5">
        <v>5</v>
      </c>
      <c r="I30" s="5">
        <v>6</v>
      </c>
      <c r="J30" s="5">
        <v>7</v>
      </c>
      <c r="K30" s="5">
        <v>8</v>
      </c>
      <c r="L30" s="5">
        <v>9</v>
      </c>
      <c r="M30" s="5">
        <v>10</v>
      </c>
      <c r="N30" s="5">
        <v>11</v>
      </c>
      <c r="O30" s="5">
        <v>12</v>
      </c>
      <c r="P30" s="5">
        <v>13</v>
      </c>
      <c r="Q30" s="5">
        <v>14</v>
      </c>
      <c r="R30" s="5">
        <v>15</v>
      </c>
      <c r="S30" s="5">
        <v>16</v>
      </c>
      <c r="T30" s="5">
        <v>17</v>
      </c>
      <c r="U30" s="5">
        <v>18</v>
      </c>
      <c r="V30" s="5">
        <v>19</v>
      </c>
      <c r="W30" s="5">
        <v>20</v>
      </c>
      <c r="X30" s="5">
        <v>21</v>
      </c>
      <c r="Y30" s="5">
        <v>22</v>
      </c>
      <c r="Z30" s="5">
        <v>23</v>
      </c>
      <c r="AA30" s="5">
        <v>24</v>
      </c>
      <c r="AB30" s="5">
        <v>25</v>
      </c>
      <c r="AC30" s="5">
        <v>26</v>
      </c>
      <c r="AD30" s="5">
        <v>27</v>
      </c>
      <c r="AE30" s="5">
        <v>28</v>
      </c>
      <c r="AF30" s="5">
        <v>29</v>
      </c>
      <c r="AG30" s="5">
        <v>30</v>
      </c>
    </row>
    <row r="31" spans="2:33">
      <c r="B31" s="6" t="s">
        <v>37</v>
      </c>
      <c r="C31" s="124" t="s">
        <v>9</v>
      </c>
      <c r="D31" s="7">
        <f>D4</f>
        <v>2023</v>
      </c>
      <c r="E31" s="7">
        <f t="shared" ref="E31:AF31" si="7">E4</f>
        <v>2024</v>
      </c>
      <c r="F31" s="7">
        <f t="shared" si="7"/>
        <v>2025</v>
      </c>
      <c r="G31" s="7">
        <f t="shared" si="7"/>
        <v>2026</v>
      </c>
      <c r="H31" s="7">
        <f t="shared" si="7"/>
        <v>2027</v>
      </c>
      <c r="I31" s="7">
        <f t="shared" si="7"/>
        <v>2028</v>
      </c>
      <c r="J31" s="7">
        <f t="shared" si="7"/>
        <v>2029</v>
      </c>
      <c r="K31" s="7">
        <f t="shared" si="7"/>
        <v>2030</v>
      </c>
      <c r="L31" s="7">
        <f t="shared" si="7"/>
        <v>2031</v>
      </c>
      <c r="M31" s="7">
        <f t="shared" si="7"/>
        <v>2032</v>
      </c>
      <c r="N31" s="7">
        <f t="shared" si="7"/>
        <v>2033</v>
      </c>
      <c r="O31" s="7">
        <f t="shared" si="7"/>
        <v>2034</v>
      </c>
      <c r="P31" s="7">
        <f t="shared" si="7"/>
        <v>2035</v>
      </c>
      <c r="Q31" s="7">
        <f t="shared" si="7"/>
        <v>2036</v>
      </c>
      <c r="R31" s="7">
        <f t="shared" si="7"/>
        <v>2037</v>
      </c>
      <c r="S31" s="7">
        <f t="shared" si="7"/>
        <v>2038</v>
      </c>
      <c r="T31" s="7">
        <f t="shared" si="7"/>
        <v>2039</v>
      </c>
      <c r="U31" s="7">
        <f t="shared" si="7"/>
        <v>2040</v>
      </c>
      <c r="V31" s="7">
        <f t="shared" si="7"/>
        <v>2041</v>
      </c>
      <c r="W31" s="7">
        <f t="shared" si="7"/>
        <v>2042</v>
      </c>
      <c r="X31" s="7">
        <f t="shared" si="7"/>
        <v>2043</v>
      </c>
      <c r="Y31" s="7">
        <f t="shared" si="7"/>
        <v>2044</v>
      </c>
      <c r="Z31" s="7">
        <f t="shared" si="7"/>
        <v>2045</v>
      </c>
      <c r="AA31" s="7">
        <f t="shared" si="7"/>
        <v>2046</v>
      </c>
      <c r="AB31" s="7">
        <f t="shared" si="7"/>
        <v>2047</v>
      </c>
      <c r="AC31" s="7">
        <f t="shared" si="7"/>
        <v>2048</v>
      </c>
      <c r="AD31" s="7">
        <f t="shared" si="7"/>
        <v>2049</v>
      </c>
      <c r="AE31" s="7">
        <f t="shared" si="7"/>
        <v>2050</v>
      </c>
      <c r="AF31" s="7">
        <f t="shared" si="7"/>
        <v>2051</v>
      </c>
      <c r="AG31" s="7">
        <f t="shared" ref="AG31" si="8">AG4</f>
        <v>2052</v>
      </c>
    </row>
    <row r="32" spans="2:33">
      <c r="B32" s="3" t="s">
        <v>244</v>
      </c>
      <c r="C32" s="180">
        <f t="shared" ref="C32:C39" si="9">SUM(D32:AG32)</f>
        <v>399750000</v>
      </c>
      <c r="D32" s="180">
        <f>'05 Financovanie - nákup'!D18</f>
        <v>0</v>
      </c>
      <c r="E32" s="180">
        <f>'05 Financovanie - nákup'!E18</f>
        <v>0</v>
      </c>
      <c r="F32" s="180">
        <f>'05 Financovanie - nákup'!F18</f>
        <v>10380000</v>
      </c>
      <c r="G32" s="180">
        <f>'05 Financovanie - nákup'!G18</f>
        <v>41520000</v>
      </c>
      <c r="H32" s="180">
        <f>'05 Financovanie - nákup'!H18</f>
        <v>186900000</v>
      </c>
      <c r="I32" s="180">
        <f>'05 Financovanie - nákup'!I18</f>
        <v>160950000</v>
      </c>
      <c r="J32" s="180">
        <f>'05 Financovanie - nákup'!J18</f>
        <v>0</v>
      </c>
      <c r="K32" s="180">
        <f>'05 Financovanie - nákup'!K18</f>
        <v>0</v>
      </c>
      <c r="L32" s="180">
        <f>'05 Financovanie - nákup'!L18</f>
        <v>0</v>
      </c>
      <c r="M32" s="180">
        <f>'05 Financovanie - nákup'!M18</f>
        <v>0</v>
      </c>
      <c r="N32" s="180">
        <f>'05 Financovanie - nákup'!N18</f>
        <v>0</v>
      </c>
      <c r="O32" s="180">
        <f>'05 Financovanie - nákup'!O18</f>
        <v>0</v>
      </c>
      <c r="P32" s="180">
        <f>'05 Financovanie - nákup'!P18</f>
        <v>0</v>
      </c>
      <c r="Q32" s="180">
        <f>'05 Financovanie - nákup'!Q18</f>
        <v>0</v>
      </c>
      <c r="R32" s="180">
        <f>'05 Financovanie - nákup'!R18</f>
        <v>0</v>
      </c>
      <c r="S32" s="180">
        <f>'05 Financovanie - nákup'!S18</f>
        <v>0</v>
      </c>
      <c r="T32" s="180">
        <f>'05 Financovanie - nákup'!T18</f>
        <v>0</v>
      </c>
      <c r="U32" s="180">
        <f>'05 Financovanie - nákup'!U18</f>
        <v>0</v>
      </c>
      <c r="V32" s="180">
        <f>'05 Financovanie - nákup'!V18</f>
        <v>0</v>
      </c>
      <c r="W32" s="180">
        <f>'05 Financovanie - nákup'!W18</f>
        <v>0</v>
      </c>
      <c r="X32" s="180">
        <f>'05 Financovanie - nákup'!X18</f>
        <v>0</v>
      </c>
      <c r="Y32" s="180">
        <f>'05 Financovanie - nákup'!Y18</f>
        <v>0</v>
      </c>
      <c r="Z32" s="180">
        <f>'05 Financovanie - nákup'!Z18</f>
        <v>0</v>
      </c>
      <c r="AA32" s="180">
        <f>'05 Financovanie - nákup'!AA18</f>
        <v>0</v>
      </c>
      <c r="AB32" s="180">
        <f>'05 Financovanie - nákup'!AB18</f>
        <v>0</v>
      </c>
      <c r="AC32" s="180">
        <f>'05 Financovanie - nákup'!AC18</f>
        <v>0</v>
      </c>
      <c r="AD32" s="180">
        <f>'05 Financovanie - nákup'!AD18</f>
        <v>0</v>
      </c>
      <c r="AE32" s="180">
        <f>'05 Financovanie - nákup'!AE18</f>
        <v>0</v>
      </c>
      <c r="AF32" s="180">
        <f>'05 Financovanie - nákup'!AF18</f>
        <v>0</v>
      </c>
      <c r="AG32" s="180">
        <f>'05 Financovanie - nákup'!AG18</f>
        <v>0</v>
      </c>
    </row>
    <row r="33" spans="2:33">
      <c r="B33" s="3" t="s">
        <v>222</v>
      </c>
      <c r="C33" s="180">
        <f t="shared" si="9"/>
        <v>585446725.01902246</v>
      </c>
      <c r="D33" s="180">
        <f>D7</f>
        <v>0</v>
      </c>
      <c r="E33" s="180">
        <f t="shared" ref="E33:AF33" si="10">E7</f>
        <v>0</v>
      </c>
      <c r="F33" s="180">
        <f t="shared" si="10"/>
        <v>0</v>
      </c>
      <c r="G33" s="180">
        <f t="shared" si="10"/>
        <v>0</v>
      </c>
      <c r="H33" s="180">
        <f t="shared" si="10"/>
        <v>6098199.0814804994</v>
      </c>
      <c r="I33" s="180">
        <f t="shared" si="10"/>
        <v>16669748.157206506</v>
      </c>
      <c r="J33" s="180">
        <f t="shared" si="10"/>
        <v>17503235.565066826</v>
      </c>
      <c r="K33" s="180">
        <f t="shared" si="10"/>
        <v>18378397.343320165</v>
      </c>
      <c r="L33" s="180">
        <f t="shared" si="10"/>
        <v>19297317.210486174</v>
      </c>
      <c r="M33" s="180">
        <f t="shared" si="10"/>
        <v>19683263.554695897</v>
      </c>
      <c r="N33" s="180">
        <f t="shared" si="10"/>
        <v>20076928.825789817</v>
      </c>
      <c r="O33" s="180">
        <f t="shared" si="10"/>
        <v>20478467.402305614</v>
      </c>
      <c r="P33" s="180">
        <f t="shared" si="10"/>
        <v>20888036.750351734</v>
      </c>
      <c r="Q33" s="180">
        <f t="shared" si="10"/>
        <v>21305797.485358775</v>
      </c>
      <c r="R33" s="180">
        <f t="shared" si="10"/>
        <v>21731913.435065947</v>
      </c>
      <c r="S33" s="180">
        <f t="shared" si="10"/>
        <v>22166551.70376727</v>
      </c>
      <c r="T33" s="180">
        <f t="shared" si="10"/>
        <v>22609882.737842619</v>
      </c>
      <c r="U33" s="180">
        <f t="shared" si="10"/>
        <v>23062080.392599471</v>
      </c>
      <c r="V33" s="180">
        <f t="shared" si="10"/>
        <v>23523322.00045146</v>
      </c>
      <c r="W33" s="180">
        <f t="shared" si="10"/>
        <v>23993788.440460488</v>
      </c>
      <c r="X33" s="180">
        <f t="shared" si="10"/>
        <v>24473664.209269702</v>
      </c>
      <c r="Y33" s="180">
        <f t="shared" si="10"/>
        <v>24963137.493455097</v>
      </c>
      <c r="Z33" s="180">
        <f t="shared" si="10"/>
        <v>25462400.24332419</v>
      </c>
      <c r="AA33" s="180">
        <f t="shared" si="10"/>
        <v>25971648.248190679</v>
      </c>
      <c r="AB33" s="180">
        <f t="shared" si="10"/>
        <v>26491081.213154502</v>
      </c>
      <c r="AC33" s="180">
        <f t="shared" si="10"/>
        <v>27020902.837417595</v>
      </c>
      <c r="AD33" s="180">
        <f t="shared" si="10"/>
        <v>27561320.894165933</v>
      </c>
      <c r="AE33" s="180">
        <f t="shared" si="10"/>
        <v>28112547.312049262</v>
      </c>
      <c r="AF33" s="180">
        <f t="shared" si="10"/>
        <v>28674798.258290239</v>
      </c>
      <c r="AG33" s="180">
        <f t="shared" ref="AG33" si="11">AG7</f>
        <v>29248294.22345601</v>
      </c>
    </row>
    <row r="34" spans="2:33">
      <c r="B34" s="4" t="s">
        <v>11</v>
      </c>
      <c r="C34" s="184">
        <f t="shared" si="9"/>
        <v>985196725.0190227</v>
      </c>
      <c r="D34" s="184">
        <f t="shared" ref="D34:AF34" si="12">SUM(D32:D33)</f>
        <v>0</v>
      </c>
      <c r="E34" s="184">
        <f t="shared" si="12"/>
        <v>0</v>
      </c>
      <c r="F34" s="184">
        <f t="shared" si="12"/>
        <v>10380000</v>
      </c>
      <c r="G34" s="184">
        <f t="shared" si="12"/>
        <v>41520000</v>
      </c>
      <c r="H34" s="184">
        <f t="shared" si="12"/>
        <v>192998199.0814805</v>
      </c>
      <c r="I34" s="184">
        <f t="shared" si="12"/>
        <v>177619748.15720651</v>
      </c>
      <c r="J34" s="184">
        <f t="shared" si="12"/>
        <v>17503235.565066826</v>
      </c>
      <c r="K34" s="184">
        <f t="shared" si="12"/>
        <v>18378397.343320165</v>
      </c>
      <c r="L34" s="184">
        <f t="shared" si="12"/>
        <v>19297317.210486174</v>
      </c>
      <c r="M34" s="184">
        <f t="shared" si="12"/>
        <v>19683263.554695897</v>
      </c>
      <c r="N34" s="184">
        <f t="shared" si="12"/>
        <v>20076928.825789817</v>
      </c>
      <c r="O34" s="184">
        <f t="shared" si="12"/>
        <v>20478467.402305614</v>
      </c>
      <c r="P34" s="184">
        <f t="shared" si="12"/>
        <v>20888036.750351734</v>
      </c>
      <c r="Q34" s="184">
        <f t="shared" si="12"/>
        <v>21305797.485358775</v>
      </c>
      <c r="R34" s="184">
        <f t="shared" si="12"/>
        <v>21731913.435065947</v>
      </c>
      <c r="S34" s="184">
        <f t="shared" si="12"/>
        <v>22166551.70376727</v>
      </c>
      <c r="T34" s="184">
        <f t="shared" si="12"/>
        <v>22609882.737842619</v>
      </c>
      <c r="U34" s="184">
        <f t="shared" si="12"/>
        <v>23062080.392599471</v>
      </c>
      <c r="V34" s="184">
        <f t="shared" si="12"/>
        <v>23523322.00045146</v>
      </c>
      <c r="W34" s="184">
        <f t="shared" si="12"/>
        <v>23993788.440460488</v>
      </c>
      <c r="X34" s="184">
        <f t="shared" si="12"/>
        <v>24473664.209269702</v>
      </c>
      <c r="Y34" s="184">
        <f t="shared" si="12"/>
        <v>24963137.493455097</v>
      </c>
      <c r="Z34" s="184">
        <f t="shared" si="12"/>
        <v>25462400.24332419</v>
      </c>
      <c r="AA34" s="184">
        <f t="shared" si="12"/>
        <v>25971648.248190679</v>
      </c>
      <c r="AB34" s="184">
        <f t="shared" si="12"/>
        <v>26491081.213154502</v>
      </c>
      <c r="AC34" s="184">
        <f t="shared" si="12"/>
        <v>27020902.837417595</v>
      </c>
      <c r="AD34" s="184">
        <f t="shared" si="12"/>
        <v>27561320.894165933</v>
      </c>
      <c r="AE34" s="184">
        <f t="shared" si="12"/>
        <v>28112547.312049262</v>
      </c>
      <c r="AF34" s="184">
        <f t="shared" si="12"/>
        <v>28674798.258290239</v>
      </c>
      <c r="AG34" s="184">
        <f t="shared" ref="AG34" si="13">SUM(AG32:AG33)</f>
        <v>29248294.22345601</v>
      </c>
    </row>
    <row r="35" spans="2:33">
      <c r="B35" s="3" t="s">
        <v>60</v>
      </c>
      <c r="C35" s="180">
        <f t="shared" si="9"/>
        <v>238800000</v>
      </c>
      <c r="D35" s="180">
        <f>D5</f>
        <v>0</v>
      </c>
      <c r="E35" s="180">
        <f t="shared" ref="E35:T36" si="14">E5</f>
        <v>0</v>
      </c>
      <c r="F35" s="180">
        <f t="shared" si="14"/>
        <v>10380000</v>
      </c>
      <c r="G35" s="180">
        <f t="shared" si="14"/>
        <v>41520000</v>
      </c>
      <c r="H35" s="180">
        <f t="shared" si="14"/>
        <v>186900000</v>
      </c>
      <c r="I35" s="180"/>
      <c r="J35" s="180"/>
      <c r="K35" s="180"/>
      <c r="L35" s="180"/>
      <c r="M35" s="180"/>
      <c r="N35" s="180"/>
      <c r="O35" s="180"/>
      <c r="P35" s="180"/>
      <c r="Q35" s="180"/>
      <c r="R35" s="180"/>
      <c r="S35" s="180"/>
      <c r="T35" s="180"/>
      <c r="U35" s="180"/>
      <c r="V35" s="180"/>
      <c r="W35" s="180"/>
      <c r="X35" s="180"/>
      <c r="Y35" s="180"/>
      <c r="Z35" s="180"/>
      <c r="AA35" s="180"/>
      <c r="AB35" s="180"/>
      <c r="AC35" s="180"/>
      <c r="AD35" s="180"/>
      <c r="AE35" s="180"/>
      <c r="AF35" s="180"/>
      <c r="AG35" s="180"/>
    </row>
    <row r="36" spans="2:33">
      <c r="B36" s="3" t="s">
        <v>59</v>
      </c>
      <c r="C36" s="180">
        <f t="shared" si="9"/>
        <v>-542673830</v>
      </c>
      <c r="D36" s="180">
        <f>D6</f>
        <v>0</v>
      </c>
      <c r="E36" s="180">
        <f t="shared" si="14"/>
        <v>0</v>
      </c>
      <c r="F36" s="180">
        <f t="shared" si="14"/>
        <v>-1524040</v>
      </c>
      <c r="G36" s="180">
        <f t="shared" si="14"/>
        <v>-66321480</v>
      </c>
      <c r="H36" s="180">
        <f t="shared" si="14"/>
        <v>-111679310</v>
      </c>
      <c r="I36" s="180">
        <f t="shared" si="14"/>
        <v>-114485960</v>
      </c>
      <c r="J36" s="180">
        <f t="shared" si="14"/>
        <v>-114485960</v>
      </c>
      <c r="K36" s="180">
        <f t="shared" si="14"/>
        <v>-2985960</v>
      </c>
      <c r="L36" s="180">
        <f t="shared" si="14"/>
        <v>-2985960</v>
      </c>
      <c r="M36" s="180">
        <f t="shared" si="14"/>
        <v>-2985960</v>
      </c>
      <c r="N36" s="180">
        <f t="shared" si="14"/>
        <v>-2985960</v>
      </c>
      <c r="O36" s="180">
        <f t="shared" si="14"/>
        <v>-2985960</v>
      </c>
      <c r="P36" s="180">
        <f t="shared" si="14"/>
        <v>-2985960</v>
      </c>
      <c r="Q36" s="180">
        <f t="shared" si="14"/>
        <v>-2985960</v>
      </c>
      <c r="R36" s="180">
        <f t="shared" si="14"/>
        <v>-2985960</v>
      </c>
      <c r="S36" s="180">
        <f t="shared" si="14"/>
        <v>-2985960</v>
      </c>
      <c r="T36" s="180">
        <f t="shared" si="14"/>
        <v>-2985960</v>
      </c>
      <c r="U36" s="180">
        <f t="shared" ref="U36:AF36" si="15">U6</f>
        <v>-2985960</v>
      </c>
      <c r="V36" s="180">
        <f t="shared" si="15"/>
        <v>-20985960</v>
      </c>
      <c r="W36" s="180">
        <f t="shared" si="15"/>
        <v>-26585960</v>
      </c>
      <c r="X36" s="180">
        <f t="shared" si="15"/>
        <v>-26585960</v>
      </c>
      <c r="Y36" s="180">
        <f t="shared" si="15"/>
        <v>-26585960</v>
      </c>
      <c r="Z36" s="180">
        <f t="shared" si="15"/>
        <v>2414040</v>
      </c>
      <c r="AA36" s="180">
        <f t="shared" si="15"/>
        <v>2414040</v>
      </c>
      <c r="AB36" s="180">
        <f t="shared" si="15"/>
        <v>-485960</v>
      </c>
      <c r="AC36" s="180">
        <f t="shared" si="15"/>
        <v>-485960</v>
      </c>
      <c r="AD36" s="180">
        <f t="shared" si="15"/>
        <v>-485960</v>
      </c>
      <c r="AE36" s="180">
        <f t="shared" si="15"/>
        <v>-485960</v>
      </c>
      <c r="AF36" s="180">
        <f t="shared" si="15"/>
        <v>-485960</v>
      </c>
      <c r="AG36" s="180">
        <f t="shared" ref="AG36" si="16">AG6</f>
        <v>-2985960</v>
      </c>
    </row>
    <row r="37" spans="2:33">
      <c r="B37" s="3" t="s">
        <v>234</v>
      </c>
      <c r="C37" s="180">
        <f t="shared" si="9"/>
        <v>453876375.5250001</v>
      </c>
      <c r="D37" s="180">
        <f>D20</f>
        <v>0</v>
      </c>
      <c r="E37" s="180">
        <f t="shared" ref="E37:AF37" si="17">E20</f>
        <v>0</v>
      </c>
      <c r="F37" s="180">
        <f t="shared" si="17"/>
        <v>30621</v>
      </c>
      <c r="G37" s="180">
        <f t="shared" si="17"/>
        <v>1961962.7250000001</v>
      </c>
      <c r="H37" s="180">
        <f t="shared" si="17"/>
        <v>9731903.896428572</v>
      </c>
      <c r="I37" s="180">
        <f t="shared" si="17"/>
        <v>42534783.753571436</v>
      </c>
      <c r="J37" s="180">
        <f t="shared" si="17"/>
        <v>69354861.646428585</v>
      </c>
      <c r="K37" s="180">
        <f t="shared" si="17"/>
        <v>67267744.717857152</v>
      </c>
      <c r="L37" s="180">
        <f t="shared" si="17"/>
        <v>65180627.789285719</v>
      </c>
      <c r="M37" s="180">
        <f t="shared" si="17"/>
        <v>63093510.860714294</v>
      </c>
      <c r="N37" s="180">
        <f t="shared" si="17"/>
        <v>59543622.70714286</v>
      </c>
      <c r="O37" s="180">
        <f t="shared" si="17"/>
        <v>51661366.607142858</v>
      </c>
      <c r="P37" s="180">
        <f t="shared" si="17"/>
        <v>23515369.821428601</v>
      </c>
      <c r="Q37" s="180">
        <f t="shared" si="17"/>
        <v>0</v>
      </c>
      <c r="R37" s="180">
        <f t="shared" si="17"/>
        <v>0</v>
      </c>
      <c r="S37" s="180">
        <f t="shared" si="17"/>
        <v>0</v>
      </c>
      <c r="T37" s="180">
        <f t="shared" si="17"/>
        <v>0</v>
      </c>
      <c r="U37" s="180">
        <f t="shared" si="17"/>
        <v>0</v>
      </c>
      <c r="V37" s="180">
        <f t="shared" si="17"/>
        <v>0</v>
      </c>
      <c r="W37" s="180">
        <f t="shared" si="17"/>
        <v>0</v>
      </c>
      <c r="X37" s="180">
        <f t="shared" si="17"/>
        <v>0</v>
      </c>
      <c r="Y37" s="180">
        <f t="shared" si="17"/>
        <v>0</v>
      </c>
      <c r="Z37" s="180">
        <f t="shared" si="17"/>
        <v>0</v>
      </c>
      <c r="AA37" s="180">
        <f t="shared" si="17"/>
        <v>0</v>
      </c>
      <c r="AB37" s="180">
        <f t="shared" si="17"/>
        <v>0</v>
      </c>
      <c r="AC37" s="180">
        <f t="shared" si="17"/>
        <v>0</v>
      </c>
      <c r="AD37" s="180">
        <f t="shared" si="17"/>
        <v>0</v>
      </c>
      <c r="AE37" s="180">
        <f t="shared" si="17"/>
        <v>0</v>
      </c>
      <c r="AF37" s="180">
        <f t="shared" si="17"/>
        <v>0</v>
      </c>
      <c r="AG37" s="180">
        <f t="shared" ref="AG37" si="18">AG20</f>
        <v>0</v>
      </c>
    </row>
    <row r="38" spans="2:33">
      <c r="B38" s="4" t="s">
        <v>23</v>
      </c>
      <c r="C38" s="184">
        <f t="shared" si="9"/>
        <v>150002545.5250001</v>
      </c>
      <c r="D38" s="184">
        <f>SUM(D35:D37)</f>
        <v>0</v>
      </c>
      <c r="E38" s="184">
        <f t="shared" ref="E38:AF38" si="19">SUM(E35:E37)</f>
        <v>0</v>
      </c>
      <c r="F38" s="184">
        <f t="shared" si="19"/>
        <v>8886581</v>
      </c>
      <c r="G38" s="184">
        <f t="shared" si="19"/>
        <v>-22839517.274999999</v>
      </c>
      <c r="H38" s="184">
        <f t="shared" si="19"/>
        <v>84952593.89642857</v>
      </c>
      <c r="I38" s="184">
        <f t="shared" si="19"/>
        <v>-71951176.246428564</v>
      </c>
      <c r="J38" s="184">
        <f t="shared" si="19"/>
        <v>-45131098.353571415</v>
      </c>
      <c r="K38" s="184">
        <f t="shared" si="19"/>
        <v>64281784.717857152</v>
      </c>
      <c r="L38" s="184">
        <f t="shared" si="19"/>
        <v>62194667.789285719</v>
      </c>
      <c r="M38" s="184">
        <f t="shared" si="19"/>
        <v>60107550.860714294</v>
      </c>
      <c r="N38" s="184">
        <f t="shared" si="19"/>
        <v>56557662.70714286</v>
      </c>
      <c r="O38" s="184">
        <f t="shared" si="19"/>
        <v>48675406.607142858</v>
      </c>
      <c r="P38" s="184">
        <f t="shared" si="19"/>
        <v>20529409.821428601</v>
      </c>
      <c r="Q38" s="184">
        <f t="shared" si="19"/>
        <v>-2985960</v>
      </c>
      <c r="R38" s="184">
        <f t="shared" si="19"/>
        <v>-2985960</v>
      </c>
      <c r="S38" s="184">
        <f t="shared" si="19"/>
        <v>-2985960</v>
      </c>
      <c r="T38" s="184">
        <f t="shared" si="19"/>
        <v>-2985960</v>
      </c>
      <c r="U38" s="184">
        <f t="shared" si="19"/>
        <v>-2985960</v>
      </c>
      <c r="V38" s="184">
        <f t="shared" si="19"/>
        <v>-20985960</v>
      </c>
      <c r="W38" s="184">
        <f t="shared" si="19"/>
        <v>-26585960</v>
      </c>
      <c r="X38" s="184">
        <f t="shared" si="19"/>
        <v>-26585960</v>
      </c>
      <c r="Y38" s="184">
        <f t="shared" si="19"/>
        <v>-26585960</v>
      </c>
      <c r="Z38" s="184">
        <f t="shared" si="19"/>
        <v>2414040</v>
      </c>
      <c r="AA38" s="184">
        <f t="shared" si="19"/>
        <v>2414040</v>
      </c>
      <c r="AB38" s="184">
        <f t="shared" si="19"/>
        <v>-485960</v>
      </c>
      <c r="AC38" s="184">
        <f t="shared" si="19"/>
        <v>-485960</v>
      </c>
      <c r="AD38" s="184">
        <f t="shared" si="19"/>
        <v>-485960</v>
      </c>
      <c r="AE38" s="184">
        <f t="shared" si="19"/>
        <v>-485960</v>
      </c>
      <c r="AF38" s="184">
        <f t="shared" si="19"/>
        <v>-485960</v>
      </c>
      <c r="AG38" s="184">
        <f t="shared" ref="AG38" si="20">SUM(AG35:AG37)</f>
        <v>-2985960</v>
      </c>
    </row>
    <row r="39" spans="2:33">
      <c r="B39" s="128" t="s">
        <v>46</v>
      </c>
      <c r="C39" s="202">
        <f t="shared" si="9"/>
        <v>835194179.49402237</v>
      </c>
      <c r="D39" s="202">
        <f>D34-D38</f>
        <v>0</v>
      </c>
      <c r="E39" s="202">
        <f t="shared" ref="E39:AF39" si="21">E34-E38</f>
        <v>0</v>
      </c>
      <c r="F39" s="202">
        <f t="shared" si="21"/>
        <v>1493419</v>
      </c>
      <c r="G39" s="202">
        <f t="shared" si="21"/>
        <v>64359517.274999999</v>
      </c>
      <c r="H39" s="202">
        <f t="shared" si="21"/>
        <v>108045605.18505193</v>
      </c>
      <c r="I39" s="202">
        <f t="shared" si="21"/>
        <v>249570924.40363508</v>
      </c>
      <c r="J39" s="202">
        <f t="shared" si="21"/>
        <v>62634333.918638244</v>
      </c>
      <c r="K39" s="202">
        <f t="shared" si="21"/>
        <v>-45903387.374536991</v>
      </c>
      <c r="L39" s="202">
        <f t="shared" si="21"/>
        <v>-42897350.578799546</v>
      </c>
      <c r="M39" s="202">
        <f t="shared" si="21"/>
        <v>-40424287.306018397</v>
      </c>
      <c r="N39" s="202">
        <f t="shared" si="21"/>
        <v>-36480733.881353043</v>
      </c>
      <c r="O39" s="202">
        <f t="shared" si="21"/>
        <v>-28196939.204837244</v>
      </c>
      <c r="P39" s="202">
        <f t="shared" si="21"/>
        <v>358626.92892313376</v>
      </c>
      <c r="Q39" s="202">
        <f t="shared" si="21"/>
        <v>24291757.485358775</v>
      </c>
      <c r="R39" s="202">
        <f t="shared" si="21"/>
        <v>24717873.435065947</v>
      </c>
      <c r="S39" s="202">
        <f t="shared" si="21"/>
        <v>25152511.70376727</v>
      </c>
      <c r="T39" s="202">
        <f t="shared" si="21"/>
        <v>25595842.737842619</v>
      </c>
      <c r="U39" s="202">
        <f t="shared" si="21"/>
        <v>26048040.392599471</v>
      </c>
      <c r="V39" s="202">
        <f t="shared" si="21"/>
        <v>44509282.00045146</v>
      </c>
      <c r="W39" s="202">
        <f t="shared" si="21"/>
        <v>50579748.440460488</v>
      </c>
      <c r="X39" s="202">
        <f t="shared" si="21"/>
        <v>51059624.209269702</v>
      </c>
      <c r="Y39" s="202">
        <f t="shared" si="21"/>
        <v>51549097.493455097</v>
      </c>
      <c r="Z39" s="202">
        <f t="shared" si="21"/>
        <v>23048360.24332419</v>
      </c>
      <c r="AA39" s="202">
        <f t="shared" si="21"/>
        <v>23557608.248190679</v>
      </c>
      <c r="AB39" s="202">
        <f t="shared" si="21"/>
        <v>26977041.213154502</v>
      </c>
      <c r="AC39" s="202">
        <f t="shared" si="21"/>
        <v>27506862.837417595</v>
      </c>
      <c r="AD39" s="202">
        <f t="shared" si="21"/>
        <v>28047280.894165933</v>
      </c>
      <c r="AE39" s="202">
        <f t="shared" si="21"/>
        <v>28598507.312049262</v>
      </c>
      <c r="AF39" s="202">
        <f t="shared" si="21"/>
        <v>29160758.258290239</v>
      </c>
      <c r="AG39" s="202">
        <f t="shared" ref="AG39" si="22">AG34-AG38</f>
        <v>32234254.22345601</v>
      </c>
    </row>
    <row r="40" spans="2:33">
      <c r="B40" s="3" t="s">
        <v>24</v>
      </c>
      <c r="C40" s="184"/>
      <c r="D40" s="180">
        <f>D39</f>
        <v>0</v>
      </c>
      <c r="E40" s="180">
        <f>D40+E39</f>
        <v>0</v>
      </c>
      <c r="F40" s="180">
        <f t="shared" ref="F40:AF40" si="23">E40+F39</f>
        <v>1493419</v>
      </c>
      <c r="G40" s="180">
        <f t="shared" si="23"/>
        <v>65852936.274999999</v>
      </c>
      <c r="H40" s="180">
        <f t="shared" si="23"/>
        <v>173898541.46005192</v>
      </c>
      <c r="I40" s="180">
        <f t="shared" si="23"/>
        <v>423469465.86368704</v>
      </c>
      <c r="J40" s="180">
        <f t="shared" si="23"/>
        <v>486103799.78232527</v>
      </c>
      <c r="K40" s="180">
        <f t="shared" si="23"/>
        <v>440200412.40778828</v>
      </c>
      <c r="L40" s="180">
        <f t="shared" si="23"/>
        <v>397303061.82898873</v>
      </c>
      <c r="M40" s="180">
        <f t="shared" si="23"/>
        <v>356878774.52297032</v>
      </c>
      <c r="N40" s="180">
        <f t="shared" si="23"/>
        <v>320398040.6416173</v>
      </c>
      <c r="O40" s="180">
        <f t="shared" si="23"/>
        <v>292201101.43678004</v>
      </c>
      <c r="P40" s="180">
        <f t="shared" si="23"/>
        <v>292559728.36570317</v>
      </c>
      <c r="Q40" s="180">
        <f t="shared" si="23"/>
        <v>316851485.85106194</v>
      </c>
      <c r="R40" s="180">
        <f t="shared" si="23"/>
        <v>341569359.28612787</v>
      </c>
      <c r="S40" s="180">
        <f t="shared" si="23"/>
        <v>366721870.98989511</v>
      </c>
      <c r="T40" s="180">
        <f t="shared" si="23"/>
        <v>392317713.72773772</v>
      </c>
      <c r="U40" s="180">
        <f t="shared" si="23"/>
        <v>418365754.12033719</v>
      </c>
      <c r="V40" s="180">
        <f t="shared" si="23"/>
        <v>462875036.12078863</v>
      </c>
      <c r="W40" s="180">
        <f t="shared" si="23"/>
        <v>513454784.56124914</v>
      </c>
      <c r="X40" s="180">
        <f t="shared" si="23"/>
        <v>564514408.77051878</v>
      </c>
      <c r="Y40" s="180">
        <f t="shared" si="23"/>
        <v>616063506.26397383</v>
      </c>
      <c r="Z40" s="180">
        <f t="shared" si="23"/>
        <v>639111866.50729799</v>
      </c>
      <c r="AA40" s="180">
        <f t="shared" si="23"/>
        <v>662669474.75548863</v>
      </c>
      <c r="AB40" s="180">
        <f t="shared" si="23"/>
        <v>689646515.96864319</v>
      </c>
      <c r="AC40" s="180">
        <f t="shared" si="23"/>
        <v>717153378.80606079</v>
      </c>
      <c r="AD40" s="180">
        <f t="shared" si="23"/>
        <v>745200659.70022678</v>
      </c>
      <c r="AE40" s="180">
        <f t="shared" si="23"/>
        <v>773799167.01227605</v>
      </c>
      <c r="AF40" s="180">
        <f t="shared" si="23"/>
        <v>802959925.27056634</v>
      </c>
      <c r="AG40" s="180">
        <f t="shared" ref="AG40" si="24">AF40+AG39</f>
        <v>835194179.49402237</v>
      </c>
    </row>
    <row r="41" spans="2:33">
      <c r="B41" s="3" t="s">
        <v>246</v>
      </c>
      <c r="C41" s="184">
        <f>SUM(D41:AG41)</f>
        <v>0</v>
      </c>
      <c r="D41" s="182">
        <f>IF(D40&lt;0,-D40,0)</f>
        <v>0</v>
      </c>
      <c r="E41" s="182">
        <f t="shared" ref="E41:AF41" si="25">IF(E40&lt;0,-E40,0)</f>
        <v>0</v>
      </c>
      <c r="F41" s="182">
        <f t="shared" si="25"/>
        <v>0</v>
      </c>
      <c r="G41" s="182">
        <f t="shared" si="25"/>
        <v>0</v>
      </c>
      <c r="H41" s="182">
        <f t="shared" si="25"/>
        <v>0</v>
      </c>
      <c r="I41" s="182">
        <f t="shared" si="25"/>
        <v>0</v>
      </c>
      <c r="J41" s="182">
        <f t="shared" si="25"/>
        <v>0</v>
      </c>
      <c r="K41" s="182">
        <f t="shared" si="25"/>
        <v>0</v>
      </c>
      <c r="L41" s="182">
        <f t="shared" si="25"/>
        <v>0</v>
      </c>
      <c r="M41" s="182">
        <f t="shared" si="25"/>
        <v>0</v>
      </c>
      <c r="N41" s="182">
        <f t="shared" si="25"/>
        <v>0</v>
      </c>
      <c r="O41" s="182">
        <f t="shared" si="25"/>
        <v>0</v>
      </c>
      <c r="P41" s="182">
        <f t="shared" si="25"/>
        <v>0</v>
      </c>
      <c r="Q41" s="182">
        <f t="shared" si="25"/>
        <v>0</v>
      </c>
      <c r="R41" s="182">
        <f t="shared" si="25"/>
        <v>0</v>
      </c>
      <c r="S41" s="182">
        <f t="shared" si="25"/>
        <v>0</v>
      </c>
      <c r="T41" s="182">
        <f t="shared" si="25"/>
        <v>0</v>
      </c>
      <c r="U41" s="182">
        <f t="shared" si="25"/>
        <v>0</v>
      </c>
      <c r="V41" s="182">
        <f t="shared" si="25"/>
        <v>0</v>
      </c>
      <c r="W41" s="182">
        <f t="shared" si="25"/>
        <v>0</v>
      </c>
      <c r="X41" s="182">
        <f t="shared" si="25"/>
        <v>0</v>
      </c>
      <c r="Y41" s="182">
        <f t="shared" si="25"/>
        <v>0</v>
      </c>
      <c r="Z41" s="182">
        <f t="shared" si="25"/>
        <v>0</v>
      </c>
      <c r="AA41" s="182">
        <f t="shared" si="25"/>
        <v>0</v>
      </c>
      <c r="AB41" s="182">
        <f t="shared" si="25"/>
        <v>0</v>
      </c>
      <c r="AC41" s="182">
        <f t="shared" si="25"/>
        <v>0</v>
      </c>
      <c r="AD41" s="182">
        <f t="shared" si="25"/>
        <v>0</v>
      </c>
      <c r="AE41" s="182">
        <f t="shared" si="25"/>
        <v>0</v>
      </c>
      <c r="AF41" s="182">
        <f t="shared" si="25"/>
        <v>0</v>
      </c>
      <c r="AG41" s="182">
        <f t="shared" ref="AG41" si="26">IF(AG40&lt;0,-AG40,0)</f>
        <v>0</v>
      </c>
    </row>
    <row r="42" spans="2:33">
      <c r="B42" s="24" t="s">
        <v>247</v>
      </c>
      <c r="C42" s="203"/>
      <c r="D42" s="203">
        <f>D40+D41</f>
        <v>0</v>
      </c>
      <c r="E42" s="203">
        <f t="shared" ref="E42:AF42" si="27">E40+E41</f>
        <v>0</v>
      </c>
      <c r="F42" s="203">
        <f t="shared" si="27"/>
        <v>1493419</v>
      </c>
      <c r="G42" s="203">
        <f t="shared" si="27"/>
        <v>65852936.274999999</v>
      </c>
      <c r="H42" s="203">
        <f t="shared" si="27"/>
        <v>173898541.46005192</v>
      </c>
      <c r="I42" s="203">
        <f t="shared" si="27"/>
        <v>423469465.86368704</v>
      </c>
      <c r="J42" s="203">
        <f t="shared" si="27"/>
        <v>486103799.78232527</v>
      </c>
      <c r="K42" s="203">
        <f t="shared" si="27"/>
        <v>440200412.40778828</v>
      </c>
      <c r="L42" s="203">
        <f t="shared" si="27"/>
        <v>397303061.82898873</v>
      </c>
      <c r="M42" s="203">
        <f t="shared" si="27"/>
        <v>356878774.52297032</v>
      </c>
      <c r="N42" s="203">
        <f t="shared" si="27"/>
        <v>320398040.6416173</v>
      </c>
      <c r="O42" s="203">
        <f t="shared" si="27"/>
        <v>292201101.43678004</v>
      </c>
      <c r="P42" s="203">
        <f t="shared" si="27"/>
        <v>292559728.36570317</v>
      </c>
      <c r="Q42" s="203">
        <f t="shared" si="27"/>
        <v>316851485.85106194</v>
      </c>
      <c r="R42" s="203">
        <f t="shared" si="27"/>
        <v>341569359.28612787</v>
      </c>
      <c r="S42" s="203">
        <f t="shared" si="27"/>
        <v>366721870.98989511</v>
      </c>
      <c r="T42" s="203">
        <f t="shared" si="27"/>
        <v>392317713.72773772</v>
      </c>
      <c r="U42" s="203">
        <f t="shared" si="27"/>
        <v>418365754.12033719</v>
      </c>
      <c r="V42" s="203">
        <f t="shared" si="27"/>
        <v>462875036.12078863</v>
      </c>
      <c r="W42" s="203">
        <f t="shared" si="27"/>
        <v>513454784.56124914</v>
      </c>
      <c r="X42" s="203">
        <f t="shared" si="27"/>
        <v>564514408.77051878</v>
      </c>
      <c r="Y42" s="203">
        <f t="shared" si="27"/>
        <v>616063506.26397383</v>
      </c>
      <c r="Z42" s="203">
        <f t="shared" si="27"/>
        <v>639111866.50729799</v>
      </c>
      <c r="AA42" s="203">
        <f t="shared" si="27"/>
        <v>662669474.75548863</v>
      </c>
      <c r="AB42" s="203">
        <f t="shared" si="27"/>
        <v>689646515.96864319</v>
      </c>
      <c r="AC42" s="203">
        <f t="shared" si="27"/>
        <v>717153378.80606079</v>
      </c>
      <c r="AD42" s="203">
        <f t="shared" si="27"/>
        <v>745200659.70022678</v>
      </c>
      <c r="AE42" s="203">
        <f t="shared" si="27"/>
        <v>773799167.01227605</v>
      </c>
      <c r="AF42" s="203">
        <f t="shared" si="27"/>
        <v>802959925.27056634</v>
      </c>
      <c r="AG42" s="203">
        <f t="shared" ref="AG42" si="28">AG40+AG41</f>
        <v>835194179.49402237</v>
      </c>
    </row>
    <row r="45" spans="2:33">
      <c r="B45" s="12" t="s">
        <v>250</v>
      </c>
      <c r="C45" s="12"/>
      <c r="D45" s="3" t="s">
        <v>10</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2:33">
      <c r="B46" s="4"/>
      <c r="C46" s="4"/>
      <c r="D46" s="5">
        <v>1</v>
      </c>
      <c r="E46" s="5">
        <v>2</v>
      </c>
      <c r="F46" s="5">
        <v>3</v>
      </c>
      <c r="G46" s="5">
        <v>4</v>
      </c>
      <c r="H46" s="5">
        <v>5</v>
      </c>
      <c r="I46" s="5">
        <v>6</v>
      </c>
      <c r="J46" s="5">
        <v>7</v>
      </c>
      <c r="K46" s="5">
        <v>8</v>
      </c>
      <c r="L46" s="5">
        <v>9</v>
      </c>
      <c r="M46" s="5">
        <v>10</v>
      </c>
      <c r="N46" s="5">
        <v>11</v>
      </c>
      <c r="O46" s="5">
        <v>12</v>
      </c>
      <c r="P46" s="5">
        <v>13</v>
      </c>
      <c r="Q46" s="5">
        <v>14</v>
      </c>
      <c r="R46" s="5">
        <v>15</v>
      </c>
      <c r="S46" s="5">
        <v>16</v>
      </c>
      <c r="T46" s="5">
        <v>17</v>
      </c>
      <c r="U46" s="5">
        <v>18</v>
      </c>
      <c r="V46" s="5">
        <v>19</v>
      </c>
      <c r="W46" s="5">
        <v>20</v>
      </c>
      <c r="X46" s="5">
        <v>21</v>
      </c>
      <c r="Y46" s="5">
        <v>22</v>
      </c>
      <c r="Z46" s="5">
        <v>23</v>
      </c>
      <c r="AA46" s="5">
        <v>24</v>
      </c>
      <c r="AB46" s="5">
        <v>25</v>
      </c>
      <c r="AC46" s="5">
        <v>26</v>
      </c>
      <c r="AD46" s="5">
        <v>27</v>
      </c>
      <c r="AE46" s="5">
        <v>28</v>
      </c>
      <c r="AF46" s="5">
        <v>29</v>
      </c>
      <c r="AG46" s="5">
        <v>30</v>
      </c>
    </row>
    <row r="47" spans="2:33">
      <c r="B47" s="6" t="s">
        <v>37</v>
      </c>
      <c r="C47" s="124" t="s">
        <v>9</v>
      </c>
      <c r="D47" s="7">
        <f>D4</f>
        <v>2023</v>
      </c>
      <c r="E47" s="7">
        <f t="shared" ref="E47:AF47" si="29">E4</f>
        <v>2024</v>
      </c>
      <c r="F47" s="7">
        <f t="shared" si="29"/>
        <v>2025</v>
      </c>
      <c r="G47" s="7">
        <f t="shared" si="29"/>
        <v>2026</v>
      </c>
      <c r="H47" s="7">
        <f t="shared" si="29"/>
        <v>2027</v>
      </c>
      <c r="I47" s="7">
        <f t="shared" si="29"/>
        <v>2028</v>
      </c>
      <c r="J47" s="7">
        <f t="shared" si="29"/>
        <v>2029</v>
      </c>
      <c r="K47" s="7">
        <f t="shared" si="29"/>
        <v>2030</v>
      </c>
      <c r="L47" s="7">
        <f t="shared" si="29"/>
        <v>2031</v>
      </c>
      <c r="M47" s="7">
        <f t="shared" si="29"/>
        <v>2032</v>
      </c>
      <c r="N47" s="7">
        <f t="shared" si="29"/>
        <v>2033</v>
      </c>
      <c r="O47" s="7">
        <f t="shared" si="29"/>
        <v>2034</v>
      </c>
      <c r="P47" s="7">
        <f t="shared" si="29"/>
        <v>2035</v>
      </c>
      <c r="Q47" s="7">
        <f t="shared" si="29"/>
        <v>2036</v>
      </c>
      <c r="R47" s="7">
        <f t="shared" si="29"/>
        <v>2037</v>
      </c>
      <c r="S47" s="7">
        <f t="shared" si="29"/>
        <v>2038</v>
      </c>
      <c r="T47" s="7">
        <f t="shared" si="29"/>
        <v>2039</v>
      </c>
      <c r="U47" s="7">
        <f t="shared" si="29"/>
        <v>2040</v>
      </c>
      <c r="V47" s="7">
        <f t="shared" si="29"/>
        <v>2041</v>
      </c>
      <c r="W47" s="7">
        <f t="shared" si="29"/>
        <v>2042</v>
      </c>
      <c r="X47" s="7">
        <f t="shared" si="29"/>
        <v>2043</v>
      </c>
      <c r="Y47" s="7">
        <f t="shared" si="29"/>
        <v>2044</v>
      </c>
      <c r="Z47" s="7">
        <f t="shared" si="29"/>
        <v>2045</v>
      </c>
      <c r="AA47" s="7">
        <f t="shared" si="29"/>
        <v>2046</v>
      </c>
      <c r="AB47" s="7">
        <f t="shared" si="29"/>
        <v>2047</v>
      </c>
      <c r="AC47" s="7">
        <f t="shared" si="29"/>
        <v>2048</v>
      </c>
      <c r="AD47" s="7">
        <f t="shared" si="29"/>
        <v>2049</v>
      </c>
      <c r="AE47" s="7">
        <f t="shared" si="29"/>
        <v>2050</v>
      </c>
      <c r="AF47" s="7">
        <f t="shared" si="29"/>
        <v>2051</v>
      </c>
      <c r="AG47" s="7">
        <f t="shared" ref="AG47" si="30">AG4</f>
        <v>2052</v>
      </c>
    </row>
    <row r="48" spans="2:33">
      <c r="B48" s="3" t="s">
        <v>244</v>
      </c>
      <c r="C48" s="180">
        <f t="shared" ref="C48:C55" si="31">SUM(D48:AG48)</f>
        <v>399750000</v>
      </c>
      <c r="D48" s="180">
        <f>'05 Financovanie - nákup'!D18</f>
        <v>0</v>
      </c>
      <c r="E48" s="180">
        <f>'05 Financovanie - nákup'!E18</f>
        <v>0</v>
      </c>
      <c r="F48" s="180">
        <f>'05 Financovanie - nákup'!F18</f>
        <v>10380000</v>
      </c>
      <c r="G48" s="180">
        <f>'05 Financovanie - nákup'!G18</f>
        <v>41520000</v>
      </c>
      <c r="H48" s="180">
        <f>'05 Financovanie - nákup'!H18</f>
        <v>186900000</v>
      </c>
      <c r="I48" s="180">
        <f>'05 Financovanie - nákup'!I18</f>
        <v>160950000</v>
      </c>
      <c r="J48" s="180">
        <f>'05 Financovanie - nákup'!J18</f>
        <v>0</v>
      </c>
      <c r="K48" s="180">
        <f>'05 Financovanie - nákup'!K18</f>
        <v>0</v>
      </c>
      <c r="L48" s="180">
        <f>'05 Financovanie - nákup'!L18</f>
        <v>0</v>
      </c>
      <c r="M48" s="180">
        <f>'05 Financovanie - nákup'!M18</f>
        <v>0</v>
      </c>
      <c r="N48" s="180">
        <f>'05 Financovanie - nákup'!N18</f>
        <v>0</v>
      </c>
      <c r="O48" s="180">
        <f>'05 Financovanie - nákup'!O18</f>
        <v>0</v>
      </c>
      <c r="P48" s="180">
        <f>'05 Financovanie - nákup'!P18</f>
        <v>0</v>
      </c>
      <c r="Q48" s="180">
        <f>'05 Financovanie - nákup'!Q18</f>
        <v>0</v>
      </c>
      <c r="R48" s="180">
        <f>'05 Financovanie - nákup'!R18</f>
        <v>0</v>
      </c>
      <c r="S48" s="180">
        <f>'05 Financovanie - nákup'!S18</f>
        <v>0</v>
      </c>
      <c r="T48" s="180">
        <f>'05 Financovanie - nákup'!T18</f>
        <v>0</v>
      </c>
      <c r="U48" s="180">
        <f>'05 Financovanie - nákup'!U18</f>
        <v>0</v>
      </c>
      <c r="V48" s="180">
        <f>'05 Financovanie - nákup'!V18</f>
        <v>0</v>
      </c>
      <c r="W48" s="180">
        <f>'05 Financovanie - nákup'!W18</f>
        <v>0</v>
      </c>
      <c r="X48" s="180">
        <f>'05 Financovanie - nákup'!X18</f>
        <v>0</v>
      </c>
      <c r="Y48" s="180">
        <f>'05 Financovanie - nákup'!Y18</f>
        <v>0</v>
      </c>
      <c r="Z48" s="180">
        <f>'05 Financovanie - nákup'!Z18</f>
        <v>0</v>
      </c>
      <c r="AA48" s="180">
        <f>'05 Financovanie - nákup'!AA18</f>
        <v>0</v>
      </c>
      <c r="AB48" s="180">
        <f>'05 Financovanie - nákup'!AB18</f>
        <v>0</v>
      </c>
      <c r="AC48" s="180">
        <f>'05 Financovanie - nákup'!AC18</f>
        <v>0</v>
      </c>
      <c r="AD48" s="180">
        <f>'05 Financovanie - nákup'!AD18</f>
        <v>0</v>
      </c>
      <c r="AE48" s="180">
        <f>'05 Financovanie - nákup'!AE18</f>
        <v>0</v>
      </c>
      <c r="AF48" s="180">
        <f>'05 Financovanie - nákup'!AF18</f>
        <v>0</v>
      </c>
      <c r="AG48" s="180">
        <f>'05 Financovanie - nákup'!AG18</f>
        <v>0</v>
      </c>
    </row>
    <row r="49" spans="2:33">
      <c r="B49" s="129" t="s">
        <v>249</v>
      </c>
      <c r="C49" s="204">
        <f t="shared" si="31"/>
        <v>1620216724.5130885</v>
      </c>
      <c r="D49" s="204">
        <f>'04 Prevádzkové príjmy - nákup'!D15</f>
        <v>13988620.180313874</v>
      </c>
      <c r="E49" s="204">
        <f>'04 Prevádzkové príjmy - nákup'!E15</f>
        <v>15146530.486155014</v>
      </c>
      <c r="F49" s="204">
        <f>'04 Prevádzkové príjmy - nákup'!F15</f>
        <v>16545392.504186399</v>
      </c>
      <c r="G49" s="204">
        <f>'04 Prevádzkové príjmy - nákup'!G15</f>
        <v>16786344.216376647</v>
      </c>
      <c r="H49" s="204">
        <f>'04 Prevádzkové príjmy - nákup'!H15</f>
        <v>33292076.71201067</v>
      </c>
      <c r="I49" s="204">
        <f>'04 Prevádzkové príjmy - nákup'!I15</f>
        <v>43863625.787736677</v>
      </c>
      <c r="J49" s="204">
        <f>'04 Prevádzkové príjmy - nákup'!J15</f>
        <v>46056807.077123508</v>
      </c>
      <c r="K49" s="204">
        <f>'04 Prevádzkové príjmy - nákup'!K15</f>
        <v>48359647.430979684</v>
      </c>
      <c r="L49" s="204">
        <f>'04 Prevádzkové príjmy - nákup'!L15</f>
        <v>50777629.802528672</v>
      </c>
      <c r="M49" s="204">
        <f>'04 Prevádzkové príjmy - nákup'!M15</f>
        <v>51793182.398579247</v>
      </c>
      <c r="N49" s="204">
        <f>'04 Prevádzkové príjmy - nákup'!N15</f>
        <v>52829046.046550833</v>
      </c>
      <c r="O49" s="204">
        <f>'04 Prevádzkové príjmy - nákup'!O15</f>
        <v>53885626.967481852</v>
      </c>
      <c r="P49" s="204">
        <f>'04 Prevádzkové príjmy - nákup'!P15</f>
        <v>54963339.506831497</v>
      </c>
      <c r="Q49" s="204">
        <f>'04 Prevádzkové príjmy - nákup'!Q15</f>
        <v>56062606.296968132</v>
      </c>
      <c r="R49" s="204">
        <f>'04 Prevádzkové príjmy - nákup'!R15</f>
        <v>57183858.422907494</v>
      </c>
      <c r="S49" s="204">
        <f>'04 Prevádzkové príjmy - nákup'!S15</f>
        <v>58327535.591365643</v>
      </c>
      <c r="T49" s="204">
        <f>'04 Prevádzkové príjmy - nákup'!T15</f>
        <v>59494086.303192958</v>
      </c>
      <c r="U49" s="204">
        <f>'04 Prevádzkové príjmy - nákup'!U15</f>
        <v>60683968.029256821</v>
      </c>
      <c r="V49" s="204">
        <f>'04 Prevádzkové príjmy - nákup'!V15</f>
        <v>61897647.389841959</v>
      </c>
      <c r="W49" s="204">
        <f>'04 Prevádzkové príjmy - nákup'!W15</f>
        <v>63135600.337638795</v>
      </c>
      <c r="X49" s="204">
        <f>'04 Prevádzkové príjmy - nákup'!X15</f>
        <v>64398312.344391577</v>
      </c>
      <c r="Y49" s="204">
        <f>'04 Prevádzkové príjmy - nákup'!Y15</f>
        <v>65686278.59127941</v>
      </c>
      <c r="Z49" s="204">
        <f>'04 Prevádzkové príjmy - nákup'!Z15</f>
        <v>67000004.163104996</v>
      </c>
      <c r="AA49" s="204">
        <f>'04 Prevádzkové príjmy - nákup'!AA15</f>
        <v>68340004.246367097</v>
      </c>
      <c r="AB49" s="204">
        <f>'04 Prevádzkové príjmy - nákup'!AB15</f>
        <v>69706804.331294447</v>
      </c>
      <c r="AC49" s="204">
        <f>'04 Prevádzkové príjmy - nákup'!AC15</f>
        <v>71100940.417920336</v>
      </c>
      <c r="AD49" s="204">
        <f>'04 Prevádzkové príjmy - nákup'!AD15</f>
        <v>72522959.226278737</v>
      </c>
      <c r="AE49" s="204">
        <f>'04 Prevádzkové príjmy - nákup'!AE15</f>
        <v>73973418.410804316</v>
      </c>
      <c r="AF49" s="204">
        <f>'04 Prevádzkové príjmy - nákup'!AF15</f>
        <v>75452886.779020399</v>
      </c>
      <c r="AG49" s="204">
        <f>'04 Prevádzkové príjmy - nákup'!AG15</f>
        <v>76961944.514600813</v>
      </c>
    </row>
    <row r="50" spans="2:33">
      <c r="B50" s="4" t="s">
        <v>11</v>
      </c>
      <c r="C50" s="184">
        <f t="shared" si="31"/>
        <v>2019966724.5130889</v>
      </c>
      <c r="D50" s="184">
        <f>SUM(D48:D49)</f>
        <v>13988620.180313874</v>
      </c>
      <c r="E50" s="184">
        <f t="shared" ref="E50:AF50" si="32">SUM(E48:E49)</f>
        <v>15146530.486155014</v>
      </c>
      <c r="F50" s="184">
        <f t="shared" si="32"/>
        <v>26925392.504186399</v>
      </c>
      <c r="G50" s="184">
        <f t="shared" si="32"/>
        <v>58306344.216376647</v>
      </c>
      <c r="H50" s="184">
        <f t="shared" si="32"/>
        <v>220192076.71201068</v>
      </c>
      <c r="I50" s="184">
        <f t="shared" si="32"/>
        <v>204813625.78773668</v>
      </c>
      <c r="J50" s="184">
        <f t="shared" si="32"/>
        <v>46056807.077123508</v>
      </c>
      <c r="K50" s="184">
        <f t="shared" si="32"/>
        <v>48359647.430979684</v>
      </c>
      <c r="L50" s="184">
        <f t="shared" si="32"/>
        <v>50777629.802528672</v>
      </c>
      <c r="M50" s="184">
        <f t="shared" si="32"/>
        <v>51793182.398579247</v>
      </c>
      <c r="N50" s="184">
        <f t="shared" si="32"/>
        <v>52829046.046550833</v>
      </c>
      <c r="O50" s="184">
        <f t="shared" si="32"/>
        <v>53885626.967481852</v>
      </c>
      <c r="P50" s="184">
        <f t="shared" si="32"/>
        <v>54963339.506831497</v>
      </c>
      <c r="Q50" s="184">
        <f t="shared" si="32"/>
        <v>56062606.296968132</v>
      </c>
      <c r="R50" s="184">
        <f t="shared" si="32"/>
        <v>57183858.422907494</v>
      </c>
      <c r="S50" s="184">
        <f t="shared" si="32"/>
        <v>58327535.591365643</v>
      </c>
      <c r="T50" s="184">
        <f t="shared" si="32"/>
        <v>59494086.303192958</v>
      </c>
      <c r="U50" s="184">
        <f t="shared" si="32"/>
        <v>60683968.029256821</v>
      </c>
      <c r="V50" s="184">
        <f t="shared" si="32"/>
        <v>61897647.389841959</v>
      </c>
      <c r="W50" s="184">
        <f t="shared" si="32"/>
        <v>63135600.337638795</v>
      </c>
      <c r="X50" s="184">
        <f t="shared" si="32"/>
        <v>64398312.344391577</v>
      </c>
      <c r="Y50" s="184">
        <f t="shared" si="32"/>
        <v>65686278.59127941</v>
      </c>
      <c r="Z50" s="184">
        <f t="shared" si="32"/>
        <v>67000004.163104996</v>
      </c>
      <c r="AA50" s="184">
        <f t="shared" si="32"/>
        <v>68340004.246367097</v>
      </c>
      <c r="AB50" s="184">
        <f t="shared" si="32"/>
        <v>69706804.331294447</v>
      </c>
      <c r="AC50" s="184">
        <f t="shared" si="32"/>
        <v>71100940.417920336</v>
      </c>
      <c r="AD50" s="184">
        <f t="shared" si="32"/>
        <v>72522959.226278737</v>
      </c>
      <c r="AE50" s="184">
        <f t="shared" si="32"/>
        <v>73973418.410804316</v>
      </c>
      <c r="AF50" s="184">
        <f t="shared" si="32"/>
        <v>75452886.779020399</v>
      </c>
      <c r="AG50" s="184">
        <f t="shared" ref="AG50" si="33">SUM(AG48:AG49)</f>
        <v>76961944.514600813</v>
      </c>
    </row>
    <row r="51" spans="2:33">
      <c r="B51" s="3" t="s">
        <v>60</v>
      </c>
      <c r="C51" s="180">
        <f t="shared" si="31"/>
        <v>399750000</v>
      </c>
      <c r="D51" s="180">
        <f>D5</f>
        <v>0</v>
      </c>
      <c r="E51" s="180">
        <f t="shared" ref="E51:AF51" si="34">E5</f>
        <v>0</v>
      </c>
      <c r="F51" s="180">
        <f t="shared" si="34"/>
        <v>10380000</v>
      </c>
      <c r="G51" s="180">
        <f t="shared" si="34"/>
        <v>41520000</v>
      </c>
      <c r="H51" s="180">
        <f t="shared" si="34"/>
        <v>186900000</v>
      </c>
      <c r="I51" s="180">
        <f t="shared" si="34"/>
        <v>160950000</v>
      </c>
      <c r="J51" s="180">
        <f t="shared" si="34"/>
        <v>0</v>
      </c>
      <c r="K51" s="180">
        <f t="shared" si="34"/>
        <v>0</v>
      </c>
      <c r="L51" s="180">
        <f t="shared" si="34"/>
        <v>0</v>
      </c>
      <c r="M51" s="180">
        <f t="shared" si="34"/>
        <v>0</v>
      </c>
      <c r="N51" s="180">
        <f t="shared" si="34"/>
        <v>0</v>
      </c>
      <c r="O51" s="180">
        <f t="shared" si="34"/>
        <v>0</v>
      </c>
      <c r="P51" s="180">
        <f t="shared" si="34"/>
        <v>0</v>
      </c>
      <c r="Q51" s="180">
        <f t="shared" si="34"/>
        <v>0</v>
      </c>
      <c r="R51" s="180">
        <f t="shared" si="34"/>
        <v>0</v>
      </c>
      <c r="S51" s="180">
        <f t="shared" si="34"/>
        <v>0</v>
      </c>
      <c r="T51" s="180">
        <f t="shared" si="34"/>
        <v>0</v>
      </c>
      <c r="U51" s="180">
        <f t="shared" si="34"/>
        <v>0</v>
      </c>
      <c r="V51" s="180">
        <f t="shared" si="34"/>
        <v>0</v>
      </c>
      <c r="W51" s="180">
        <f t="shared" si="34"/>
        <v>0</v>
      </c>
      <c r="X51" s="180">
        <f t="shared" si="34"/>
        <v>0</v>
      </c>
      <c r="Y51" s="180">
        <f t="shared" si="34"/>
        <v>0</v>
      </c>
      <c r="Z51" s="180">
        <f t="shared" si="34"/>
        <v>0</v>
      </c>
      <c r="AA51" s="180">
        <f t="shared" si="34"/>
        <v>0</v>
      </c>
      <c r="AB51" s="180">
        <f t="shared" si="34"/>
        <v>0</v>
      </c>
      <c r="AC51" s="180">
        <f t="shared" si="34"/>
        <v>0</v>
      </c>
      <c r="AD51" s="180">
        <f t="shared" si="34"/>
        <v>0</v>
      </c>
      <c r="AE51" s="180">
        <f t="shared" si="34"/>
        <v>0</v>
      </c>
      <c r="AF51" s="180">
        <f t="shared" si="34"/>
        <v>0</v>
      </c>
      <c r="AG51" s="180">
        <f t="shared" ref="AG51" si="35">AG5</f>
        <v>0</v>
      </c>
    </row>
    <row r="52" spans="2:33">
      <c r="B52" s="129" t="s">
        <v>248</v>
      </c>
      <c r="C52" s="204">
        <f t="shared" si="31"/>
        <v>2707489970</v>
      </c>
      <c r="D52" s="204">
        <f>'03 Prevádzkové výdavky nákup'!D21</f>
        <v>91455460</v>
      </c>
      <c r="E52" s="204">
        <f>'03 Prevádzkové výdavky nákup'!E21</f>
        <v>91455460</v>
      </c>
      <c r="F52" s="204">
        <f>'03 Prevádzkové výdavky nákup'!F21</f>
        <v>89931420</v>
      </c>
      <c r="G52" s="204">
        <f>'03 Prevádzkové výdavky nákup'!G21</f>
        <v>92133980</v>
      </c>
      <c r="H52" s="204">
        <f>'03 Prevádzkové výdavky nákup'!H21</f>
        <v>91276150</v>
      </c>
      <c r="I52" s="204">
        <f>'03 Prevádzkové výdavky nákup'!I21</f>
        <v>88469500</v>
      </c>
      <c r="J52" s="204">
        <f>'03 Prevádzkové výdavky nákup'!J21</f>
        <v>88469500</v>
      </c>
      <c r="K52" s="204">
        <f>'03 Prevádzkové výdavky nákup'!K21</f>
        <v>88469500</v>
      </c>
      <c r="L52" s="204">
        <f>'03 Prevádzkové výdavky nákup'!L21</f>
        <v>88469500</v>
      </c>
      <c r="M52" s="204">
        <f>'03 Prevádzkové výdavky nákup'!M21</f>
        <v>88469500</v>
      </c>
      <c r="N52" s="204">
        <f>'03 Prevádzkové výdavky nákup'!N21</f>
        <v>88469500</v>
      </c>
      <c r="O52" s="204">
        <f>'03 Prevádzkové výdavky nákup'!O21</f>
        <v>88469500</v>
      </c>
      <c r="P52" s="204">
        <f>'03 Prevádzkové výdavky nákup'!P21</f>
        <v>88469500</v>
      </c>
      <c r="Q52" s="204">
        <f>'03 Prevádzkové výdavky nákup'!Q21</f>
        <v>88469500</v>
      </c>
      <c r="R52" s="204">
        <f>'03 Prevádzkové výdavky nákup'!R21</f>
        <v>88469500</v>
      </c>
      <c r="S52" s="204">
        <f>'03 Prevádzkové výdavky nákup'!S21</f>
        <v>88469500</v>
      </c>
      <c r="T52" s="204">
        <f>'03 Prevádzkové výdavky nákup'!T21</f>
        <v>88469500</v>
      </c>
      <c r="U52" s="204">
        <f>'03 Prevádzkové výdavky nákup'!U21</f>
        <v>88469500</v>
      </c>
      <c r="V52" s="204">
        <f>'03 Prevádzkové výdavky nákup'!V21</f>
        <v>88469500</v>
      </c>
      <c r="W52" s="204">
        <f>'03 Prevádzkové výdavky nákup'!W21</f>
        <v>93869500</v>
      </c>
      <c r="X52" s="204">
        <f>'03 Prevádzkové výdavky nákup'!X21</f>
        <v>93869500</v>
      </c>
      <c r="Y52" s="204">
        <f>'03 Prevádzkové výdavky nákup'!Y21</f>
        <v>93869500</v>
      </c>
      <c r="Z52" s="204">
        <f>'03 Prevádzkové výdavky nákup'!Z21</f>
        <v>93869500</v>
      </c>
      <c r="AA52" s="204">
        <f>'03 Prevádzkové výdavky nákup'!AA21</f>
        <v>93869500</v>
      </c>
      <c r="AB52" s="204">
        <f>'03 Prevádzkové výdavky nákup'!AB21</f>
        <v>90969500</v>
      </c>
      <c r="AC52" s="204">
        <f>'03 Prevádzkové výdavky nákup'!AC21</f>
        <v>90969500</v>
      </c>
      <c r="AD52" s="204">
        <f>'03 Prevádzkové výdavky nákup'!AD21</f>
        <v>90969500</v>
      </c>
      <c r="AE52" s="204">
        <f>'03 Prevádzkové výdavky nákup'!AE21</f>
        <v>90969500</v>
      </c>
      <c r="AF52" s="204">
        <f>'03 Prevádzkové výdavky nákup'!AF21</f>
        <v>90969500</v>
      </c>
      <c r="AG52" s="204">
        <f>'03 Prevádzkové výdavky nákup'!AG21</f>
        <v>88469500</v>
      </c>
    </row>
    <row r="53" spans="2:33">
      <c r="B53" s="3" t="s">
        <v>234</v>
      </c>
      <c r="C53" s="180">
        <f t="shared" si="31"/>
        <v>453876375.5250001</v>
      </c>
      <c r="D53" s="180">
        <f>D20</f>
        <v>0</v>
      </c>
      <c r="E53" s="180">
        <f t="shared" ref="E53:AF53" si="36">E20</f>
        <v>0</v>
      </c>
      <c r="F53" s="180">
        <f t="shared" si="36"/>
        <v>30621</v>
      </c>
      <c r="G53" s="180">
        <f t="shared" si="36"/>
        <v>1961962.7250000001</v>
      </c>
      <c r="H53" s="180">
        <f t="shared" si="36"/>
        <v>9731903.896428572</v>
      </c>
      <c r="I53" s="180">
        <f t="shared" si="36"/>
        <v>42534783.753571436</v>
      </c>
      <c r="J53" s="180">
        <f t="shared" si="36"/>
        <v>69354861.646428585</v>
      </c>
      <c r="K53" s="180">
        <f t="shared" si="36"/>
        <v>67267744.717857152</v>
      </c>
      <c r="L53" s="180">
        <f t="shared" si="36"/>
        <v>65180627.789285719</v>
      </c>
      <c r="M53" s="180">
        <f t="shared" si="36"/>
        <v>63093510.860714294</v>
      </c>
      <c r="N53" s="180">
        <f t="shared" si="36"/>
        <v>59543622.70714286</v>
      </c>
      <c r="O53" s="180">
        <f t="shared" si="36"/>
        <v>51661366.607142858</v>
      </c>
      <c r="P53" s="180">
        <f t="shared" si="36"/>
        <v>23515369.821428601</v>
      </c>
      <c r="Q53" s="180">
        <f t="shared" si="36"/>
        <v>0</v>
      </c>
      <c r="R53" s="180">
        <f t="shared" si="36"/>
        <v>0</v>
      </c>
      <c r="S53" s="180">
        <f t="shared" si="36"/>
        <v>0</v>
      </c>
      <c r="T53" s="180">
        <f t="shared" si="36"/>
        <v>0</v>
      </c>
      <c r="U53" s="180">
        <f t="shared" si="36"/>
        <v>0</v>
      </c>
      <c r="V53" s="180">
        <f t="shared" si="36"/>
        <v>0</v>
      </c>
      <c r="W53" s="180">
        <f t="shared" si="36"/>
        <v>0</v>
      </c>
      <c r="X53" s="180">
        <f t="shared" si="36"/>
        <v>0</v>
      </c>
      <c r="Y53" s="180">
        <f t="shared" si="36"/>
        <v>0</v>
      </c>
      <c r="Z53" s="180">
        <f t="shared" si="36"/>
        <v>0</v>
      </c>
      <c r="AA53" s="180">
        <f t="shared" si="36"/>
        <v>0</v>
      </c>
      <c r="AB53" s="180">
        <f t="shared" si="36"/>
        <v>0</v>
      </c>
      <c r="AC53" s="180">
        <f t="shared" si="36"/>
        <v>0</v>
      </c>
      <c r="AD53" s="180">
        <f t="shared" si="36"/>
        <v>0</v>
      </c>
      <c r="AE53" s="180">
        <f t="shared" si="36"/>
        <v>0</v>
      </c>
      <c r="AF53" s="180">
        <f t="shared" si="36"/>
        <v>0</v>
      </c>
      <c r="AG53" s="180">
        <f t="shared" ref="AG53" si="37">AG20</f>
        <v>0</v>
      </c>
    </row>
    <row r="54" spans="2:33">
      <c r="B54" s="4" t="s">
        <v>23</v>
      </c>
      <c r="C54" s="184">
        <f t="shared" si="31"/>
        <v>3561116345.5249996</v>
      </c>
      <c r="D54" s="184">
        <f>SUM(D51:D53)</f>
        <v>91455460</v>
      </c>
      <c r="E54" s="184">
        <f t="shared" ref="E54:AF54" si="38">SUM(E51:E53)</f>
        <v>91455460</v>
      </c>
      <c r="F54" s="184">
        <f t="shared" si="38"/>
        <v>100342041</v>
      </c>
      <c r="G54" s="184">
        <f t="shared" si="38"/>
        <v>135615942.72499999</v>
      </c>
      <c r="H54" s="184">
        <f t="shared" si="38"/>
        <v>287908053.89642859</v>
      </c>
      <c r="I54" s="184">
        <f t="shared" si="38"/>
        <v>291954283.75357145</v>
      </c>
      <c r="J54" s="184">
        <f t="shared" si="38"/>
        <v>157824361.64642859</v>
      </c>
      <c r="K54" s="184">
        <f t="shared" si="38"/>
        <v>155737244.71785715</v>
      </c>
      <c r="L54" s="184">
        <f t="shared" si="38"/>
        <v>153650127.78928572</v>
      </c>
      <c r="M54" s="184">
        <f t="shared" si="38"/>
        <v>151563010.86071429</v>
      </c>
      <c r="N54" s="184">
        <f t="shared" si="38"/>
        <v>148013122.70714286</v>
      </c>
      <c r="O54" s="184">
        <f t="shared" si="38"/>
        <v>140130866.60714287</v>
      </c>
      <c r="P54" s="184">
        <f t="shared" si="38"/>
        <v>111984869.8214286</v>
      </c>
      <c r="Q54" s="184">
        <f t="shared" si="38"/>
        <v>88469500</v>
      </c>
      <c r="R54" s="184">
        <f t="shared" si="38"/>
        <v>88469500</v>
      </c>
      <c r="S54" s="184">
        <f t="shared" si="38"/>
        <v>88469500</v>
      </c>
      <c r="T54" s="184">
        <f t="shared" si="38"/>
        <v>88469500</v>
      </c>
      <c r="U54" s="184">
        <f t="shared" si="38"/>
        <v>88469500</v>
      </c>
      <c r="V54" s="184">
        <f t="shared" si="38"/>
        <v>88469500</v>
      </c>
      <c r="W54" s="184">
        <f t="shared" si="38"/>
        <v>93869500</v>
      </c>
      <c r="X54" s="184">
        <f t="shared" si="38"/>
        <v>93869500</v>
      </c>
      <c r="Y54" s="184">
        <f t="shared" si="38"/>
        <v>93869500</v>
      </c>
      <c r="Z54" s="184">
        <f t="shared" si="38"/>
        <v>93869500</v>
      </c>
      <c r="AA54" s="184">
        <f t="shared" si="38"/>
        <v>93869500</v>
      </c>
      <c r="AB54" s="184">
        <f t="shared" si="38"/>
        <v>90969500</v>
      </c>
      <c r="AC54" s="184">
        <f t="shared" si="38"/>
        <v>90969500</v>
      </c>
      <c r="AD54" s="184">
        <f t="shared" si="38"/>
        <v>90969500</v>
      </c>
      <c r="AE54" s="184">
        <f t="shared" si="38"/>
        <v>90969500</v>
      </c>
      <c r="AF54" s="184">
        <f t="shared" si="38"/>
        <v>90969500</v>
      </c>
      <c r="AG54" s="184">
        <f t="shared" ref="AG54" si="39">SUM(AG51:AG53)</f>
        <v>88469500</v>
      </c>
    </row>
    <row r="55" spans="2:33">
      <c r="B55" s="128" t="s">
        <v>46</v>
      </c>
      <c r="C55" s="202">
        <f t="shared" si="31"/>
        <v>-1541149621.0119116</v>
      </c>
      <c r="D55" s="202">
        <f>D50-D54</f>
        <v>-77466839.81968613</v>
      </c>
      <c r="E55" s="202">
        <f t="shared" ref="E55:AF55" si="40">E50-E54</f>
        <v>-76308929.513844982</v>
      </c>
      <c r="F55" s="202">
        <f t="shared" si="40"/>
        <v>-73416648.495813608</v>
      </c>
      <c r="G55" s="202">
        <f t="shared" si="40"/>
        <v>-77309598.508623347</v>
      </c>
      <c r="H55" s="202">
        <f t="shared" si="40"/>
        <v>-67715977.184417903</v>
      </c>
      <c r="I55" s="202">
        <f t="shared" si="40"/>
        <v>-87140657.965834767</v>
      </c>
      <c r="J55" s="202">
        <f t="shared" si="40"/>
        <v>-111767554.56930508</v>
      </c>
      <c r="K55" s="202">
        <f t="shared" si="40"/>
        <v>-107377597.28687747</v>
      </c>
      <c r="L55" s="202">
        <f t="shared" si="40"/>
        <v>-102872497.98675704</v>
      </c>
      <c r="M55" s="202">
        <f t="shared" si="40"/>
        <v>-99769828.462135047</v>
      </c>
      <c r="N55" s="202">
        <f t="shared" si="40"/>
        <v>-95184076.66059202</v>
      </c>
      <c r="O55" s="202">
        <f t="shared" si="40"/>
        <v>-86245239.639661014</v>
      </c>
      <c r="P55" s="202">
        <f t="shared" si="40"/>
        <v>-57021530.3145971</v>
      </c>
      <c r="Q55" s="202">
        <f t="shared" si="40"/>
        <v>-32406893.703031868</v>
      </c>
      <c r="R55" s="202">
        <f t="shared" si="40"/>
        <v>-31285641.577092506</v>
      </c>
      <c r="S55" s="202">
        <f t="shared" si="40"/>
        <v>-30141964.408634357</v>
      </c>
      <c r="T55" s="202">
        <f t="shared" si="40"/>
        <v>-28975413.696807042</v>
      </c>
      <c r="U55" s="202">
        <f t="shared" si="40"/>
        <v>-27785531.970743179</v>
      </c>
      <c r="V55" s="202">
        <f t="shared" si="40"/>
        <v>-26571852.610158041</v>
      </c>
      <c r="W55" s="202">
        <f t="shared" si="40"/>
        <v>-30733899.662361205</v>
      </c>
      <c r="X55" s="202">
        <f t="shared" si="40"/>
        <v>-29471187.655608423</v>
      </c>
      <c r="Y55" s="202">
        <f t="shared" si="40"/>
        <v>-28183221.40872059</v>
      </c>
      <c r="Z55" s="202">
        <f t="shared" si="40"/>
        <v>-26869495.836895004</v>
      </c>
      <c r="AA55" s="202">
        <f t="shared" si="40"/>
        <v>-25529495.753632903</v>
      </c>
      <c r="AB55" s="202">
        <f t="shared" si="40"/>
        <v>-21262695.668705553</v>
      </c>
      <c r="AC55" s="202">
        <f t="shared" si="40"/>
        <v>-19868559.582079664</v>
      </c>
      <c r="AD55" s="202">
        <f t="shared" si="40"/>
        <v>-18446540.773721263</v>
      </c>
      <c r="AE55" s="202">
        <f t="shared" si="40"/>
        <v>-16996081.589195684</v>
      </c>
      <c r="AF55" s="202">
        <f t="shared" si="40"/>
        <v>-15516613.220979601</v>
      </c>
      <c r="AG55" s="202">
        <f t="shared" ref="AG55" si="41">AG50-AG54</f>
        <v>-11507555.485399187</v>
      </c>
    </row>
    <row r="56" spans="2:33">
      <c r="B56" s="3" t="s">
        <v>24</v>
      </c>
      <c r="C56" s="184"/>
      <c r="D56" s="180">
        <f>D55</f>
        <v>-77466839.81968613</v>
      </c>
      <c r="E56" s="180">
        <f>D56+E55</f>
        <v>-153775769.33353111</v>
      </c>
      <c r="F56" s="180">
        <f t="shared" ref="F56:AF56" si="42">E56+F55</f>
        <v>-227192417.82934472</v>
      </c>
      <c r="G56" s="180">
        <f t="shared" si="42"/>
        <v>-304502016.33796805</v>
      </c>
      <c r="H56" s="180">
        <f t="shared" si="42"/>
        <v>-372217993.52238595</v>
      </c>
      <c r="I56" s="180">
        <f t="shared" si="42"/>
        <v>-459358651.48822069</v>
      </c>
      <c r="J56" s="180">
        <f t="shared" si="42"/>
        <v>-571126206.05752575</v>
      </c>
      <c r="K56" s="180">
        <f t="shared" si="42"/>
        <v>-678503803.34440327</v>
      </c>
      <c r="L56" s="180">
        <f t="shared" si="42"/>
        <v>-781376301.33116031</v>
      </c>
      <c r="M56" s="180">
        <f t="shared" si="42"/>
        <v>-881146129.79329538</v>
      </c>
      <c r="N56" s="180">
        <f t="shared" si="42"/>
        <v>-976330206.45388746</v>
      </c>
      <c r="O56" s="180">
        <f t="shared" si="42"/>
        <v>-1062575446.0935485</v>
      </c>
      <c r="P56" s="180">
        <f t="shared" si="42"/>
        <v>-1119596976.4081457</v>
      </c>
      <c r="Q56" s="180">
        <f t="shared" si="42"/>
        <v>-1152003870.1111774</v>
      </c>
      <c r="R56" s="180">
        <f t="shared" si="42"/>
        <v>-1183289511.6882699</v>
      </c>
      <c r="S56" s="180">
        <f t="shared" si="42"/>
        <v>-1213431476.0969043</v>
      </c>
      <c r="T56" s="180">
        <f t="shared" si="42"/>
        <v>-1242406889.7937114</v>
      </c>
      <c r="U56" s="180">
        <f t="shared" si="42"/>
        <v>-1270192421.7644546</v>
      </c>
      <c r="V56" s="180">
        <f t="shared" si="42"/>
        <v>-1296764274.3746126</v>
      </c>
      <c r="W56" s="180">
        <f t="shared" si="42"/>
        <v>-1327498174.0369737</v>
      </c>
      <c r="X56" s="180">
        <f t="shared" si="42"/>
        <v>-1356969361.6925821</v>
      </c>
      <c r="Y56" s="180">
        <f t="shared" si="42"/>
        <v>-1385152583.1013026</v>
      </c>
      <c r="Z56" s="180">
        <f t="shared" si="42"/>
        <v>-1412022078.9381976</v>
      </c>
      <c r="AA56" s="180">
        <f t="shared" si="42"/>
        <v>-1437551574.6918306</v>
      </c>
      <c r="AB56" s="180">
        <f t="shared" si="42"/>
        <v>-1458814270.3605361</v>
      </c>
      <c r="AC56" s="180">
        <f t="shared" si="42"/>
        <v>-1478682829.9426157</v>
      </c>
      <c r="AD56" s="180">
        <f t="shared" si="42"/>
        <v>-1497129370.716337</v>
      </c>
      <c r="AE56" s="180">
        <f t="shared" si="42"/>
        <v>-1514125452.3055327</v>
      </c>
      <c r="AF56" s="180">
        <f t="shared" si="42"/>
        <v>-1529642065.5265124</v>
      </c>
      <c r="AG56" s="180">
        <f t="shared" ref="AG56" si="43">AF56+AG55</f>
        <v>-1541149621.0119116</v>
      </c>
    </row>
    <row r="57" spans="2:33">
      <c r="B57" s="3" t="s">
        <v>246</v>
      </c>
      <c r="C57" s="184">
        <f>SUM(D57:AG57)</f>
        <v>30961994583.966568</v>
      </c>
      <c r="D57" s="182">
        <f>IF(D56&lt;0,-D56,0)</f>
        <v>77466839.81968613</v>
      </c>
      <c r="E57" s="182">
        <f t="shared" ref="E57:AF57" si="44">IF(E56&lt;0,-E56,0)</f>
        <v>153775769.33353111</v>
      </c>
      <c r="F57" s="182">
        <f t="shared" si="44"/>
        <v>227192417.82934472</v>
      </c>
      <c r="G57" s="182">
        <f t="shared" si="44"/>
        <v>304502016.33796805</v>
      </c>
      <c r="H57" s="182">
        <f t="shared" si="44"/>
        <v>372217993.52238595</v>
      </c>
      <c r="I57" s="182">
        <f t="shared" si="44"/>
        <v>459358651.48822069</v>
      </c>
      <c r="J57" s="182">
        <f t="shared" si="44"/>
        <v>571126206.05752575</v>
      </c>
      <c r="K57" s="182">
        <f t="shared" si="44"/>
        <v>678503803.34440327</v>
      </c>
      <c r="L57" s="182">
        <f t="shared" si="44"/>
        <v>781376301.33116031</v>
      </c>
      <c r="M57" s="182">
        <f t="shared" si="44"/>
        <v>881146129.79329538</v>
      </c>
      <c r="N57" s="182">
        <f t="shared" si="44"/>
        <v>976330206.45388746</v>
      </c>
      <c r="O57" s="182">
        <f t="shared" si="44"/>
        <v>1062575446.0935485</v>
      </c>
      <c r="P57" s="182">
        <f t="shared" si="44"/>
        <v>1119596976.4081457</v>
      </c>
      <c r="Q57" s="182">
        <f t="shared" si="44"/>
        <v>1152003870.1111774</v>
      </c>
      <c r="R57" s="182">
        <f t="shared" si="44"/>
        <v>1183289511.6882699</v>
      </c>
      <c r="S57" s="182">
        <f t="shared" si="44"/>
        <v>1213431476.0969043</v>
      </c>
      <c r="T57" s="182">
        <f t="shared" si="44"/>
        <v>1242406889.7937114</v>
      </c>
      <c r="U57" s="182">
        <f t="shared" si="44"/>
        <v>1270192421.7644546</v>
      </c>
      <c r="V57" s="182">
        <f t="shared" si="44"/>
        <v>1296764274.3746126</v>
      </c>
      <c r="W57" s="182">
        <f t="shared" si="44"/>
        <v>1327498174.0369737</v>
      </c>
      <c r="X57" s="182">
        <f t="shared" si="44"/>
        <v>1356969361.6925821</v>
      </c>
      <c r="Y57" s="182">
        <f t="shared" si="44"/>
        <v>1385152583.1013026</v>
      </c>
      <c r="Z57" s="182">
        <f t="shared" si="44"/>
        <v>1412022078.9381976</v>
      </c>
      <c r="AA57" s="182">
        <f t="shared" si="44"/>
        <v>1437551574.6918306</v>
      </c>
      <c r="AB57" s="182">
        <f t="shared" si="44"/>
        <v>1458814270.3605361</v>
      </c>
      <c r="AC57" s="182">
        <f t="shared" si="44"/>
        <v>1478682829.9426157</v>
      </c>
      <c r="AD57" s="182">
        <f t="shared" si="44"/>
        <v>1497129370.716337</v>
      </c>
      <c r="AE57" s="182">
        <f t="shared" si="44"/>
        <v>1514125452.3055327</v>
      </c>
      <c r="AF57" s="182">
        <f t="shared" si="44"/>
        <v>1529642065.5265124</v>
      </c>
      <c r="AG57" s="182">
        <f t="shared" ref="AG57" si="45">IF(AG56&lt;0,-AG56,0)</f>
        <v>1541149621.0119116</v>
      </c>
    </row>
    <row r="58" spans="2:33">
      <c r="B58" s="24" t="s">
        <v>247</v>
      </c>
      <c r="C58" s="203"/>
      <c r="D58" s="203">
        <f>D56+D57</f>
        <v>0</v>
      </c>
      <c r="E58" s="203">
        <f t="shared" ref="E58:AF58" si="46">E56+E57</f>
        <v>0</v>
      </c>
      <c r="F58" s="203">
        <f t="shared" si="46"/>
        <v>0</v>
      </c>
      <c r="G58" s="203">
        <f t="shared" si="46"/>
        <v>0</v>
      </c>
      <c r="H58" s="203">
        <f t="shared" si="46"/>
        <v>0</v>
      </c>
      <c r="I58" s="203">
        <f t="shared" si="46"/>
        <v>0</v>
      </c>
      <c r="J58" s="203">
        <f t="shared" si="46"/>
        <v>0</v>
      </c>
      <c r="K58" s="203">
        <f t="shared" si="46"/>
        <v>0</v>
      </c>
      <c r="L58" s="203">
        <f t="shared" si="46"/>
        <v>0</v>
      </c>
      <c r="M58" s="203">
        <f t="shared" si="46"/>
        <v>0</v>
      </c>
      <c r="N58" s="203">
        <f t="shared" si="46"/>
        <v>0</v>
      </c>
      <c r="O58" s="203">
        <f t="shared" si="46"/>
        <v>0</v>
      </c>
      <c r="P58" s="203">
        <f t="shared" si="46"/>
        <v>0</v>
      </c>
      <c r="Q58" s="203">
        <f t="shared" si="46"/>
        <v>0</v>
      </c>
      <c r="R58" s="203">
        <f t="shared" si="46"/>
        <v>0</v>
      </c>
      <c r="S58" s="203">
        <f t="shared" si="46"/>
        <v>0</v>
      </c>
      <c r="T58" s="203">
        <f t="shared" si="46"/>
        <v>0</v>
      </c>
      <c r="U58" s="203">
        <f t="shared" si="46"/>
        <v>0</v>
      </c>
      <c r="V58" s="203">
        <f t="shared" si="46"/>
        <v>0</v>
      </c>
      <c r="W58" s="203">
        <f t="shared" si="46"/>
        <v>0</v>
      </c>
      <c r="X58" s="203">
        <f t="shared" si="46"/>
        <v>0</v>
      </c>
      <c r="Y58" s="203">
        <f t="shared" si="46"/>
        <v>0</v>
      </c>
      <c r="Z58" s="203">
        <f t="shared" si="46"/>
        <v>0</v>
      </c>
      <c r="AA58" s="203">
        <f t="shared" si="46"/>
        <v>0</v>
      </c>
      <c r="AB58" s="203">
        <f t="shared" si="46"/>
        <v>0</v>
      </c>
      <c r="AC58" s="203">
        <f t="shared" si="46"/>
        <v>0</v>
      </c>
      <c r="AD58" s="203">
        <f t="shared" si="46"/>
        <v>0</v>
      </c>
      <c r="AE58" s="203">
        <f t="shared" si="46"/>
        <v>0</v>
      </c>
      <c r="AF58" s="203">
        <f t="shared" si="46"/>
        <v>0</v>
      </c>
      <c r="AG58" s="203">
        <f t="shared" ref="AG58" si="47">AG56+AG57</f>
        <v>0</v>
      </c>
    </row>
    <row r="60" spans="2:33">
      <c r="B60" s="1" t="s">
        <v>274</v>
      </c>
    </row>
  </sheetData>
  <sheetProtection algorithmName="SHA-512" hashValue="5YGZKDcM1kUkDjXVm+dm4lWKWSbhivzNjhZPySal6nLA6NVlPFIRZNoLdP2fYnHXdKXUmq/hifqWOLdSGoQk0Q==" saltValue="ilSIZAbzgK1SqcjMec6NBw==" spinCount="100000" sheet="1" objects="1" scenarios="1"/>
  <conditionalFormatting sqref="D40:AG40">
    <cfRule type="cellIs" dxfId="19" priority="4" stopIfTrue="1" operator="lessThan">
      <formula>0</formula>
    </cfRule>
  </conditionalFormatting>
  <conditionalFormatting sqref="D42:AG42">
    <cfRule type="cellIs" dxfId="18" priority="3" stopIfTrue="1" operator="lessThan">
      <formula>0</formula>
    </cfRule>
  </conditionalFormatting>
  <conditionalFormatting sqref="D56:AG56">
    <cfRule type="cellIs" dxfId="17" priority="2" stopIfTrue="1" operator="lessThan">
      <formula>0</formula>
    </cfRule>
  </conditionalFormatting>
  <conditionalFormatting sqref="D58:AG58">
    <cfRule type="cellIs" dxfId="16" priority="1" stopIfTrue="1" operator="lessThan">
      <formula>0</formula>
    </cfRule>
  </conditionalFormatting>
  <pageMargins left="0.24791666666666667" right="0.1953125" top="1" bottom="1" header="0.5" footer="0.5"/>
  <pageSetup scale="70" orientation="landscape" r:id="rId1"/>
  <headerFooter alignWithMargins="0">
    <oddHeader>&amp;LPríloha 7: Štandardné tabuľky - Cesty
&amp;"Arial,Tučné"&amp;12 06 Finančná analýza</oddHeader>
    <oddFooter>Strana &amp;P z &amp;N</oddFooter>
  </headerFooter>
  <ignoredErrors>
    <ignoredError sqref="C26" evalErro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BE8AE-F6C0-064D-8BD7-E92C888901DA}">
  <dimension ref="B1:AK63"/>
  <sheetViews>
    <sheetView zoomScale="80" zoomScaleNormal="80" workbookViewId="0">
      <pane ySplit="6" topLeftCell="A12" activePane="bottomLeft" state="frozen"/>
      <selection pane="bottomLeft" activeCell="A12" sqref="A12"/>
    </sheetView>
  </sheetViews>
  <sheetFormatPr defaultColWidth="10.85546875" defaultRowHeight="15.75" outlineLevelRow="1"/>
  <cols>
    <col min="1" max="1" width="3.140625" style="333" customWidth="1"/>
    <col min="2" max="2" width="47" style="333" customWidth="1"/>
    <col min="3" max="3" width="35" style="333" customWidth="1"/>
    <col min="4" max="4" width="46.85546875" style="333" customWidth="1"/>
    <col min="5" max="11" width="10.85546875" style="333"/>
    <col min="12" max="12" width="12.28515625" style="333" bestFit="1" customWidth="1"/>
    <col min="13" max="16384" width="10.85546875" style="333"/>
  </cols>
  <sheetData>
    <row r="1" spans="2:37">
      <c r="B1" s="926" t="s">
        <v>454</v>
      </c>
      <c r="C1" s="926"/>
      <c r="D1" s="926"/>
      <c r="E1" s="926"/>
      <c r="F1" s="926"/>
      <c r="G1" s="844">
        <v>1</v>
      </c>
      <c r="H1" s="844">
        <v>2</v>
      </c>
      <c r="I1" s="844">
        <v>3</v>
      </c>
      <c r="J1" s="844">
        <v>4</v>
      </c>
      <c r="K1" s="844">
        <v>5</v>
      </c>
      <c r="L1" s="844">
        <v>6</v>
      </c>
      <c r="M1" s="844">
        <v>7</v>
      </c>
      <c r="N1" s="844">
        <v>8</v>
      </c>
      <c r="O1" s="844">
        <v>9</v>
      </c>
      <c r="P1" s="844">
        <v>10</v>
      </c>
      <c r="Q1" s="844">
        <v>11</v>
      </c>
      <c r="R1" s="844">
        <v>12</v>
      </c>
      <c r="S1" s="844">
        <v>13</v>
      </c>
      <c r="T1" s="844">
        <v>14</v>
      </c>
      <c r="U1" s="844">
        <v>15</v>
      </c>
      <c r="V1" s="844">
        <v>16</v>
      </c>
      <c r="W1" s="844">
        <v>17</v>
      </c>
      <c r="X1" s="844">
        <v>18</v>
      </c>
      <c r="Y1" s="844">
        <v>19</v>
      </c>
      <c r="Z1" s="844">
        <v>20</v>
      </c>
      <c r="AA1" s="844">
        <v>21</v>
      </c>
      <c r="AB1" s="844">
        <v>22</v>
      </c>
      <c r="AC1" s="844">
        <v>23</v>
      </c>
      <c r="AD1" s="844">
        <v>24</v>
      </c>
      <c r="AE1" s="844">
        <v>25</v>
      </c>
      <c r="AF1" s="844">
        <v>26</v>
      </c>
      <c r="AG1" s="844">
        <v>27</v>
      </c>
      <c r="AH1" s="844">
        <v>28</v>
      </c>
      <c r="AI1" s="844">
        <v>29</v>
      </c>
      <c r="AJ1" s="844">
        <v>30</v>
      </c>
    </row>
    <row r="2" spans="2:37" ht="16.5" thickBot="1">
      <c r="B2" s="334"/>
      <c r="C2" s="334"/>
      <c r="D2" s="334"/>
      <c r="E2" s="334"/>
      <c r="F2" s="334"/>
      <c r="G2" s="843">
        <v>2023</v>
      </c>
      <c r="H2" s="843">
        <f>G2+$G$1</f>
        <v>2024</v>
      </c>
      <c r="I2" s="843">
        <f t="shared" ref="I2:AJ2" si="0">H2+$G$1</f>
        <v>2025</v>
      </c>
      <c r="J2" s="843">
        <f t="shared" si="0"/>
        <v>2026</v>
      </c>
      <c r="K2" s="843">
        <f t="shared" si="0"/>
        <v>2027</v>
      </c>
      <c r="L2" s="843">
        <f t="shared" si="0"/>
        <v>2028</v>
      </c>
      <c r="M2" s="843">
        <f t="shared" si="0"/>
        <v>2029</v>
      </c>
      <c r="N2" s="843">
        <f t="shared" si="0"/>
        <v>2030</v>
      </c>
      <c r="O2" s="843">
        <f t="shared" si="0"/>
        <v>2031</v>
      </c>
      <c r="P2" s="843">
        <f t="shared" si="0"/>
        <v>2032</v>
      </c>
      <c r="Q2" s="843">
        <f t="shared" si="0"/>
        <v>2033</v>
      </c>
      <c r="R2" s="843">
        <f t="shared" si="0"/>
        <v>2034</v>
      </c>
      <c r="S2" s="843">
        <f t="shared" si="0"/>
        <v>2035</v>
      </c>
      <c r="T2" s="843">
        <f t="shared" si="0"/>
        <v>2036</v>
      </c>
      <c r="U2" s="843">
        <f t="shared" si="0"/>
        <v>2037</v>
      </c>
      <c r="V2" s="843">
        <f t="shared" si="0"/>
        <v>2038</v>
      </c>
      <c r="W2" s="843">
        <f t="shared" si="0"/>
        <v>2039</v>
      </c>
      <c r="X2" s="843">
        <f t="shared" si="0"/>
        <v>2040</v>
      </c>
      <c r="Y2" s="843">
        <f t="shared" si="0"/>
        <v>2041</v>
      </c>
      <c r="Z2" s="843">
        <f t="shared" si="0"/>
        <v>2042</v>
      </c>
      <c r="AA2" s="843">
        <f t="shared" si="0"/>
        <v>2043</v>
      </c>
      <c r="AB2" s="843">
        <f t="shared" si="0"/>
        <v>2044</v>
      </c>
      <c r="AC2" s="843">
        <f t="shared" si="0"/>
        <v>2045</v>
      </c>
      <c r="AD2" s="843">
        <f t="shared" si="0"/>
        <v>2046</v>
      </c>
      <c r="AE2" s="843">
        <f t="shared" si="0"/>
        <v>2047</v>
      </c>
      <c r="AF2" s="843">
        <f t="shared" si="0"/>
        <v>2048</v>
      </c>
      <c r="AG2" s="843">
        <f t="shared" si="0"/>
        <v>2049</v>
      </c>
      <c r="AH2" s="843">
        <f t="shared" si="0"/>
        <v>2050</v>
      </c>
      <c r="AI2" s="843">
        <f t="shared" si="0"/>
        <v>2051</v>
      </c>
      <c r="AJ2" s="843">
        <f t="shared" si="0"/>
        <v>2052</v>
      </c>
    </row>
    <row r="3" spans="2:37" ht="28.5">
      <c r="B3" s="335" t="s">
        <v>455</v>
      </c>
      <c r="C3" s="336"/>
      <c r="D3" s="336"/>
      <c r="E3" s="336"/>
      <c r="F3" s="336"/>
      <c r="G3" s="336"/>
      <c r="H3" s="336"/>
      <c r="I3" s="336"/>
      <c r="J3" s="336"/>
      <c r="K3" s="336"/>
      <c r="L3" s="336"/>
      <c r="M3" s="336"/>
      <c r="N3" s="336"/>
      <c r="O3" s="336"/>
      <c r="P3" s="336"/>
      <c r="Q3" s="336"/>
      <c r="R3" s="336"/>
      <c r="S3" s="336"/>
      <c r="T3" s="336"/>
      <c r="U3" s="336"/>
      <c r="V3" s="336"/>
      <c r="W3" s="336"/>
      <c r="X3" s="336"/>
      <c r="Y3" s="336"/>
      <c r="Z3" s="336"/>
      <c r="AA3" s="336"/>
      <c r="AB3" s="336"/>
      <c r="AC3" s="336"/>
      <c r="AD3" s="336"/>
      <c r="AE3" s="336"/>
      <c r="AF3" s="336"/>
      <c r="AG3" s="336"/>
      <c r="AH3" s="337"/>
      <c r="AI3" s="337"/>
      <c r="AJ3" s="639"/>
    </row>
    <row r="4" spans="2:37">
      <c r="B4" s="338" t="s">
        <v>456</v>
      </c>
      <c r="C4" s="927" t="s">
        <v>457</v>
      </c>
      <c r="D4" s="928"/>
      <c r="E4" s="928"/>
      <c r="F4" s="929"/>
      <c r="G4" s="339">
        <f t="shared" ref="G4:AJ4" si="1">G16</f>
        <v>0</v>
      </c>
      <c r="H4" s="339">
        <f t="shared" si="1"/>
        <v>0</v>
      </c>
      <c r="I4" s="339">
        <f t="shared" si="1"/>
        <v>0</v>
      </c>
      <c r="J4" s="339">
        <f t="shared" si="1"/>
        <v>0</v>
      </c>
      <c r="K4" s="339">
        <f t="shared" si="1"/>
        <v>139858.13537293157</v>
      </c>
      <c r="L4" s="339">
        <f t="shared" si="1"/>
        <v>279774.65452557994</v>
      </c>
      <c r="M4" s="339">
        <f t="shared" si="1"/>
        <v>279775.72772142763</v>
      </c>
      <c r="N4" s="339">
        <f t="shared" si="1"/>
        <v>279717.31414791627</v>
      </c>
      <c r="O4" s="339">
        <f t="shared" si="1"/>
        <v>279690.94917547965</v>
      </c>
      <c r="P4" s="339">
        <f t="shared" si="1"/>
        <v>279600.6343628543</v>
      </c>
      <c r="Q4" s="339">
        <f t="shared" si="1"/>
        <v>279471.79871046392</v>
      </c>
      <c r="R4" s="339">
        <f t="shared" si="1"/>
        <v>279311.24156871275</v>
      </c>
      <c r="S4" s="339">
        <f t="shared" si="1"/>
        <v>279121.0436693189</v>
      </c>
      <c r="T4" s="339">
        <f t="shared" si="1"/>
        <v>278746.51882183226</v>
      </c>
      <c r="U4" s="339">
        <f t="shared" si="1"/>
        <v>278188.28746864235</v>
      </c>
      <c r="V4" s="339">
        <f t="shared" si="1"/>
        <v>277447.33383588871</v>
      </c>
      <c r="W4" s="339">
        <f t="shared" si="1"/>
        <v>276525.00308437692</v>
      </c>
      <c r="X4" s="339">
        <f t="shared" si="1"/>
        <v>275422.99726981937</v>
      </c>
      <c r="Y4" s="339">
        <f t="shared" si="1"/>
        <v>274073.0633599399</v>
      </c>
      <c r="Z4" s="339">
        <f t="shared" si="1"/>
        <v>272478.66263460525</v>
      </c>
      <c r="AA4" s="339">
        <f t="shared" si="1"/>
        <v>270643.91446314409</v>
      </c>
      <c r="AB4" s="339">
        <f t="shared" si="1"/>
        <v>268573.57858726644</v>
      </c>
      <c r="AC4" s="339">
        <f t="shared" si="1"/>
        <v>266273.03454128461</v>
      </c>
      <c r="AD4" s="339">
        <f t="shared" si="1"/>
        <v>263641.73264090659</v>
      </c>
      <c r="AE4" s="339">
        <f t="shared" si="1"/>
        <v>260689.43236688874</v>
      </c>
      <c r="AF4" s="339">
        <f t="shared" si="1"/>
        <v>257427.07708786509</v>
      </c>
      <c r="AG4" s="339">
        <f t="shared" si="1"/>
        <v>253866.7263074475</v>
      </c>
      <c r="AH4" s="340">
        <f t="shared" si="1"/>
        <v>250021.48114638095</v>
      </c>
      <c r="AI4" s="340">
        <f t="shared" si="1"/>
        <v>245764.62238258315</v>
      </c>
      <c r="AJ4" s="340">
        <f t="shared" si="1"/>
        <v>241118.38373290753</v>
      </c>
      <c r="AK4" s="640"/>
    </row>
    <row r="5" spans="2:37" ht="6.95" customHeight="1">
      <c r="B5" s="341"/>
      <c r="C5" s="342"/>
      <c r="D5" s="343"/>
      <c r="E5" s="342"/>
      <c r="F5" s="344"/>
      <c r="G5" s="342"/>
      <c r="H5" s="342"/>
      <c r="I5" s="342"/>
      <c r="J5" s="342"/>
      <c r="K5" s="342"/>
      <c r="L5" s="342"/>
      <c r="M5" s="342"/>
      <c r="N5" s="342"/>
      <c r="O5" s="342"/>
      <c r="P5" s="342"/>
      <c r="Q5" s="342"/>
      <c r="R5" s="342"/>
      <c r="S5" s="342"/>
      <c r="T5" s="342"/>
      <c r="U5" s="342"/>
      <c r="V5" s="342"/>
      <c r="W5" s="342"/>
      <c r="X5" s="342"/>
      <c r="Y5" s="342"/>
      <c r="Z5" s="342"/>
      <c r="AA5" s="342"/>
      <c r="AB5" s="342"/>
      <c r="AC5" s="342"/>
      <c r="AD5" s="342"/>
      <c r="AE5" s="342"/>
      <c r="AF5" s="342"/>
      <c r="AG5" s="342"/>
      <c r="AH5" s="345"/>
      <c r="AI5" s="345"/>
      <c r="AJ5" s="346"/>
      <c r="AK5" s="640"/>
    </row>
    <row r="6" spans="2:37" ht="16.5" thickBot="1">
      <c r="B6" s="347" t="s">
        <v>458</v>
      </c>
      <c r="C6" s="930" t="s">
        <v>457</v>
      </c>
      <c r="D6" s="931"/>
      <c r="E6" s="931"/>
      <c r="F6" s="932"/>
      <c r="G6" s="348">
        <f t="shared" ref="G6:AJ6" si="2">G37</f>
        <v>3473838.8785778577</v>
      </c>
      <c r="H6" s="348">
        <f t="shared" si="2"/>
        <v>3476524.3613250717</v>
      </c>
      <c r="I6" s="348">
        <f t="shared" si="2"/>
        <v>3478290.0259937411</v>
      </c>
      <c r="J6" s="348">
        <f t="shared" si="2"/>
        <v>3480838.4647763544</v>
      </c>
      <c r="K6" s="348">
        <f t="shared" si="2"/>
        <v>3482480.1244620215</v>
      </c>
      <c r="L6" s="348">
        <f t="shared" si="2"/>
        <v>3483141.20503766</v>
      </c>
      <c r="M6" s="348">
        <f t="shared" si="2"/>
        <v>3483045.4622152164</v>
      </c>
      <c r="N6" s="348">
        <f t="shared" si="2"/>
        <v>3482196.1700717467</v>
      </c>
      <c r="O6" s="348">
        <f t="shared" si="2"/>
        <v>3481710.3903786158</v>
      </c>
      <c r="P6" s="348">
        <f t="shared" si="2"/>
        <v>3480414.7688144115</v>
      </c>
      <c r="Q6" s="348">
        <f t="shared" si="2"/>
        <v>3478620.9958191989</v>
      </c>
      <c r="R6" s="348">
        <f t="shared" si="2"/>
        <v>3476440.3834457314</v>
      </c>
      <c r="S6" s="348">
        <f t="shared" si="2"/>
        <v>3473910.5902583082</v>
      </c>
      <c r="T6" s="348">
        <f t="shared" si="2"/>
        <v>3469086.7557884613</v>
      </c>
      <c r="U6" s="348">
        <f t="shared" si="2"/>
        <v>3461976.9248204348</v>
      </c>
      <c r="V6" s="348">
        <f t="shared" si="2"/>
        <v>3452593.6686810465</v>
      </c>
      <c r="W6" s="348">
        <f t="shared" si="2"/>
        <v>3440954.0487151439</v>
      </c>
      <c r="X6" s="348">
        <f t="shared" si="2"/>
        <v>3427079.5649505346</v>
      </c>
      <c r="Y6" s="348">
        <f t="shared" si="2"/>
        <v>3410121.3065998429</v>
      </c>
      <c r="Z6" s="348">
        <f t="shared" si="2"/>
        <v>3390122.7791052153</v>
      </c>
      <c r="AA6" s="348">
        <f t="shared" si="2"/>
        <v>3367135.6685369224</v>
      </c>
      <c r="AB6" s="348">
        <f t="shared" si="2"/>
        <v>3341219.6192067098</v>
      </c>
      <c r="AC6" s="348">
        <f t="shared" si="2"/>
        <v>3312441.9757229034</v>
      </c>
      <c r="AD6" s="348">
        <f t="shared" si="2"/>
        <v>3279552.3723485456</v>
      </c>
      <c r="AE6" s="348">
        <f t="shared" si="2"/>
        <v>3242672.8006911264</v>
      </c>
      <c r="AF6" s="348">
        <f t="shared" si="2"/>
        <v>3201939.9564658026</v>
      </c>
      <c r="AG6" s="348">
        <f t="shared" si="2"/>
        <v>3157504.3931960184</v>
      </c>
      <c r="AH6" s="348">
        <f t="shared" si="2"/>
        <v>3109529.5920042042</v>
      </c>
      <c r="AI6" s="348">
        <f t="shared" si="2"/>
        <v>3056440.1352701327</v>
      </c>
      <c r="AJ6" s="349">
        <f t="shared" si="2"/>
        <v>2998513.267103144</v>
      </c>
      <c r="AK6" s="640"/>
    </row>
    <row r="7" spans="2:37" s="334" customFormat="1" ht="15" hidden="1" customHeight="1" outlineLevel="1">
      <c r="B7" s="933" t="s">
        <v>459</v>
      </c>
      <c r="C7" s="933"/>
      <c r="D7" s="350" t="str">
        <f>B40</f>
        <v>Košice &lt;=&gt; Poprad</v>
      </c>
      <c r="E7" s="934" t="s">
        <v>460</v>
      </c>
      <c r="F7" s="934"/>
      <c r="G7" s="351"/>
      <c r="H7" s="377">
        <v>1.0010073346256303</v>
      </c>
      <c r="I7" s="377">
        <v>1.0008141479396411</v>
      </c>
      <c r="J7" s="377">
        <v>1.0014204438952681</v>
      </c>
      <c r="K7" s="377">
        <v>1.001223847372718</v>
      </c>
      <c r="L7" s="377">
        <v>1.0010235384391706</v>
      </c>
      <c r="M7" s="377">
        <v>1.0008749715679215</v>
      </c>
      <c r="N7" s="377">
        <v>1.0006782381109385</v>
      </c>
      <c r="O7" s="377">
        <v>1.0010574962672913</v>
      </c>
      <c r="P7" s="377">
        <v>1.0009359147485957</v>
      </c>
      <c r="Q7" s="377">
        <v>1.0008332169791287</v>
      </c>
      <c r="R7" s="377">
        <v>1.0007245585142708</v>
      </c>
      <c r="S7" s="377">
        <v>1.0006422973256781</v>
      </c>
      <c r="T7" s="377">
        <v>0.99998004498796056</v>
      </c>
      <c r="U7" s="377">
        <v>0.99931779265024301</v>
      </c>
      <c r="V7" s="377">
        <v>0.99865554031252568</v>
      </c>
      <c r="W7" s="377">
        <v>0.99799328797480813</v>
      </c>
      <c r="X7" s="377">
        <v>0.99733103563709058</v>
      </c>
      <c r="Y7" s="377">
        <v>0.99641317776651106</v>
      </c>
      <c r="Z7" s="377">
        <v>0.99549531989593132</v>
      </c>
      <c r="AA7" s="377">
        <v>0.9945774620253518</v>
      </c>
      <c r="AB7" s="377">
        <v>0.99365960415477206</v>
      </c>
      <c r="AC7" s="377">
        <v>0.99274174628419232</v>
      </c>
      <c r="AD7" s="377">
        <v>0.99142329912455929</v>
      </c>
      <c r="AE7" s="377">
        <v>0.99010485196492637</v>
      </c>
      <c r="AF7" s="377">
        <v>0.98878640480529345</v>
      </c>
      <c r="AG7" s="377">
        <v>0.98746795764566042</v>
      </c>
      <c r="AH7" s="377">
        <v>0.98614951048602761</v>
      </c>
      <c r="AI7" s="377">
        <v>0.98426724562046086</v>
      </c>
      <c r="AJ7" s="377">
        <v>0.98238498075489389</v>
      </c>
    </row>
    <row r="8" spans="2:37" s="334" customFormat="1" ht="15" hidden="1" customHeight="1" outlineLevel="1">
      <c r="B8" s="933"/>
      <c r="C8" s="933"/>
      <c r="D8" s="350" t="str">
        <f t="shared" ref="D8:D9" si="3">B41</f>
        <v>Poprad &lt;=&gt; Liptovský Mikuláš</v>
      </c>
      <c r="E8" s="934"/>
      <c r="F8" s="934"/>
      <c r="G8" s="351"/>
      <c r="H8" s="377">
        <v>1.0004785946502701</v>
      </c>
      <c r="I8" s="377">
        <v>1.0002681231182611</v>
      </c>
      <c r="J8" s="377">
        <v>1.0006963689823514</v>
      </c>
      <c r="K8" s="377">
        <v>1.0005147146854532</v>
      </c>
      <c r="L8" s="377">
        <v>1.0002376320447088</v>
      </c>
      <c r="M8" s="377">
        <v>1.0000454450426999</v>
      </c>
      <c r="N8" s="377">
        <v>0.99982705600933963</v>
      </c>
      <c r="O8" s="377">
        <v>0.99982966119027161</v>
      </c>
      <c r="P8" s="377">
        <v>0.99959575156723712</v>
      </c>
      <c r="Q8" s="377">
        <v>0.99945751173118635</v>
      </c>
      <c r="R8" s="377">
        <v>0.99933605456747632</v>
      </c>
      <c r="S8" s="377">
        <v>0.99920014034298554</v>
      </c>
      <c r="T8" s="377">
        <v>0.99853884246405489</v>
      </c>
      <c r="U8" s="377">
        <v>0.99787754458512423</v>
      </c>
      <c r="V8" s="377">
        <v>0.99721624670619358</v>
      </c>
      <c r="W8" s="377">
        <v>0.99655494882726292</v>
      </c>
      <c r="X8" s="377">
        <v>0.99589365094833227</v>
      </c>
      <c r="Y8" s="377">
        <v>0.99497711592322968</v>
      </c>
      <c r="Z8" s="377">
        <v>0.9940605808981271</v>
      </c>
      <c r="AA8" s="377">
        <v>0.99314404587302452</v>
      </c>
      <c r="AB8" s="377">
        <v>0.99222751084792193</v>
      </c>
      <c r="AC8" s="377">
        <v>0.99131097582281935</v>
      </c>
      <c r="AD8" s="377">
        <v>0.98999442885047872</v>
      </c>
      <c r="AE8" s="377">
        <v>0.9886778818781381</v>
      </c>
      <c r="AF8" s="377">
        <v>0.98736133490579758</v>
      </c>
      <c r="AG8" s="377">
        <v>0.98604478793345707</v>
      </c>
      <c r="AH8" s="377">
        <v>0.98472824096111644</v>
      </c>
      <c r="AI8" s="377">
        <v>0.98284868887455801</v>
      </c>
      <c r="AJ8" s="377">
        <v>0.98096913678799957</v>
      </c>
    </row>
    <row r="9" spans="2:37" s="334" customFormat="1" ht="15" hidden="1" customHeight="1" outlineLevel="1">
      <c r="B9" s="933"/>
      <c r="C9" s="933"/>
      <c r="D9" s="350" t="str">
        <f t="shared" si="3"/>
        <v>Liptovský Mikuláš &lt;=&gt;  Žilina</v>
      </c>
      <c r="E9" s="934"/>
      <c r="F9" s="934"/>
      <c r="G9" s="351"/>
      <c r="H9" s="377">
        <v>0.99984735735695096</v>
      </c>
      <c r="I9" s="377">
        <v>0.99961215898490563</v>
      </c>
      <c r="J9" s="377">
        <v>1.0000455982190528</v>
      </c>
      <c r="K9" s="377">
        <v>0.99985585715489889</v>
      </c>
      <c r="L9" s="377">
        <v>0.99957016019004596</v>
      </c>
      <c r="M9" s="377">
        <v>0.99935737561872007</v>
      </c>
      <c r="N9" s="377">
        <v>0.99915575685866453</v>
      </c>
      <c r="O9" s="377">
        <v>0.99924875968379001</v>
      </c>
      <c r="P9" s="377">
        <v>0.99895364275705378</v>
      </c>
      <c r="Q9" s="377">
        <v>0.99880983872555529</v>
      </c>
      <c r="R9" s="377">
        <v>0.99869005557159363</v>
      </c>
      <c r="S9" s="377">
        <v>0.99857564010263244</v>
      </c>
      <c r="T9" s="377">
        <v>0.9979147555349771</v>
      </c>
      <c r="U9" s="377">
        <v>0.99725387096732176</v>
      </c>
      <c r="V9" s="377">
        <v>0.99659298639966643</v>
      </c>
      <c r="W9" s="377">
        <v>0.99593210183201109</v>
      </c>
      <c r="X9" s="377">
        <v>0.99527121726435586</v>
      </c>
      <c r="Y9" s="377">
        <v>0.99435525507378397</v>
      </c>
      <c r="Z9" s="377">
        <v>0.99343929288321209</v>
      </c>
      <c r="AA9" s="377">
        <v>0.9925233306926402</v>
      </c>
      <c r="AB9" s="377">
        <v>0.99160736850206832</v>
      </c>
      <c r="AC9" s="377">
        <v>0.99069140631149644</v>
      </c>
      <c r="AD9" s="377">
        <v>0.98937568218121474</v>
      </c>
      <c r="AE9" s="377">
        <v>0.98805995805093305</v>
      </c>
      <c r="AF9" s="377">
        <v>0.98674423392065136</v>
      </c>
      <c r="AG9" s="377">
        <v>0.98542850979036967</v>
      </c>
      <c r="AH9" s="377">
        <v>0.98411278566008775</v>
      </c>
      <c r="AI9" s="377">
        <v>0.98223440829387054</v>
      </c>
      <c r="AJ9" s="377">
        <v>0.98035603092765333</v>
      </c>
    </row>
    <row r="10" spans="2:37" s="334" customFormat="1" ht="15" hidden="1" customHeight="1" outlineLevel="1">
      <c r="B10" s="933"/>
      <c r="C10" s="933"/>
      <c r="D10" s="350" t="str">
        <f>B43</f>
        <v>Žilina &lt;=&gt;  Bratislava hl. st.</v>
      </c>
      <c r="E10" s="934"/>
      <c r="F10" s="934"/>
      <c r="G10" s="351"/>
      <c r="H10" s="377">
        <v>1.0010219527275308</v>
      </c>
      <c r="I10" s="377">
        <v>1.0007117115134112</v>
      </c>
      <c r="J10" s="377">
        <v>1.0007045319505947</v>
      </c>
      <c r="K10" s="377">
        <v>1.0003838539847747</v>
      </c>
      <c r="L10" s="377">
        <v>1.0000745320809212</v>
      </c>
      <c r="M10" s="377">
        <v>0.99982694600983013</v>
      </c>
      <c r="N10" s="377">
        <v>0.99959993600350372</v>
      </c>
      <c r="O10" s="377">
        <v>0.99963750595611445</v>
      </c>
      <c r="P10" s="377">
        <v>0.99938477187749708</v>
      </c>
      <c r="Q10" s="377">
        <v>0.99922611032227215</v>
      </c>
      <c r="R10" s="377">
        <v>0.99911744973625205</v>
      </c>
      <c r="S10" s="377">
        <v>0.9990211845364676</v>
      </c>
      <c r="T10" s="377">
        <v>0.99836000509536582</v>
      </c>
      <c r="U10" s="377">
        <v>0.99769882565426404</v>
      </c>
      <c r="V10" s="377">
        <v>0.99703764621316238</v>
      </c>
      <c r="W10" s="377">
        <v>0.99637646677206049</v>
      </c>
      <c r="X10" s="377">
        <v>0.99571528733095871</v>
      </c>
      <c r="Y10" s="377">
        <v>0.99479891645641827</v>
      </c>
      <c r="Z10" s="377">
        <v>0.99388254558187783</v>
      </c>
      <c r="AA10" s="377">
        <v>0.99296617470733717</v>
      </c>
      <c r="AB10" s="377">
        <v>0.99204980383279651</v>
      </c>
      <c r="AC10" s="377">
        <v>0.99113343295825596</v>
      </c>
      <c r="AD10" s="377">
        <v>0.98981712177824144</v>
      </c>
      <c r="AE10" s="377">
        <v>0.98850081059822703</v>
      </c>
      <c r="AF10" s="377">
        <v>0.9871844994182124</v>
      </c>
      <c r="AG10" s="377">
        <v>0.98586818823819788</v>
      </c>
      <c r="AH10" s="377">
        <v>0.98455187705818337</v>
      </c>
      <c r="AI10" s="377">
        <v>0.982672661597638</v>
      </c>
      <c r="AJ10" s="377">
        <v>0.98079344613709274</v>
      </c>
    </row>
    <row r="11" spans="2:37" s="334" customFormat="1" ht="35.1" hidden="1" customHeight="1" outlineLevel="1">
      <c r="B11" s="945" t="s">
        <v>714</v>
      </c>
      <c r="C11" s="945"/>
      <c r="D11" s="945"/>
      <c r="E11" s="829"/>
      <c r="F11" s="829"/>
      <c r="G11" s="377"/>
      <c r="H11" s="377"/>
      <c r="I11" s="377"/>
      <c r="J11" s="377"/>
      <c r="K11" s="377"/>
      <c r="L11" s="377"/>
      <c r="M11" s="377"/>
      <c r="N11" s="377"/>
      <c r="O11" s="377"/>
      <c r="P11" s="377"/>
      <c r="Q11" s="377"/>
      <c r="R11" s="377"/>
      <c r="S11" s="377"/>
      <c r="T11" s="377"/>
      <c r="U11" s="377"/>
      <c r="V11" s="377"/>
      <c r="W11" s="377"/>
      <c r="X11" s="377"/>
      <c r="Y11" s="377"/>
      <c r="Z11" s="377"/>
      <c r="AA11" s="377"/>
      <c r="AB11" s="377"/>
      <c r="AC11" s="377"/>
      <c r="AD11" s="377"/>
      <c r="AE11" s="377"/>
      <c r="AF11" s="377"/>
      <c r="AG11" s="377"/>
      <c r="AH11" s="377"/>
      <c r="AI11" s="377"/>
      <c r="AJ11" s="377"/>
    </row>
    <row r="12" spans="2:37" collapsed="1">
      <c r="B12" s="831"/>
    </row>
    <row r="13" spans="2:37" s="334" customFormat="1" ht="40.5" customHeight="1">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352"/>
      <c r="AE13" s="352"/>
      <c r="AF13" s="352"/>
      <c r="AG13" s="352"/>
      <c r="AH13" s="352"/>
    </row>
    <row r="14" spans="2:37" s="334" customFormat="1" ht="18.75" customHeight="1">
      <c r="B14" s="353"/>
      <c r="C14" s="354"/>
      <c r="D14" s="355"/>
      <c r="E14" s="355"/>
      <c r="G14" s="352"/>
      <c r="H14" s="352"/>
      <c r="I14" s="352"/>
      <c r="J14" s="352"/>
      <c r="K14" s="352"/>
      <c r="L14" s="352"/>
      <c r="M14" s="352"/>
      <c r="N14" s="352"/>
      <c r="O14" s="352"/>
      <c r="P14" s="352"/>
      <c r="Q14" s="352"/>
      <c r="R14" s="352"/>
      <c r="S14" s="352"/>
      <c r="T14" s="352"/>
      <c r="U14" s="352"/>
      <c r="V14" s="352"/>
      <c r="W14" s="352"/>
      <c r="X14" s="352"/>
      <c r="Y14" s="352"/>
      <c r="Z14" s="352"/>
      <c r="AA14" s="352"/>
      <c r="AB14" s="352"/>
      <c r="AC14" s="352"/>
      <c r="AD14" s="352"/>
      <c r="AE14" s="352"/>
      <c r="AF14" s="352"/>
      <c r="AG14" s="352"/>
      <c r="AH14" s="352"/>
    </row>
    <row r="15" spans="2:37" s="334" customFormat="1" ht="15">
      <c r="C15" s="356" t="str">
        <f>C36</f>
        <v>dĺžka cesty - železničná doprava  [km]</v>
      </c>
      <c r="D15" s="357" t="str">
        <f>D36</f>
        <v>vnímaná úspora času železničná doprava [hod.]</v>
      </c>
      <c r="E15" s="358"/>
      <c r="F15" s="359"/>
      <c r="G15" s="352"/>
      <c r="H15" s="352"/>
      <c r="I15" s="352"/>
      <c r="J15" s="352"/>
      <c r="K15" s="352"/>
      <c r="L15" s="352"/>
      <c r="M15" s="352"/>
      <c r="N15" s="352"/>
      <c r="O15" s="352"/>
      <c r="P15" s="352"/>
      <c r="Q15" s="352"/>
      <c r="R15" s="352"/>
      <c r="S15" s="352"/>
      <c r="T15" s="352"/>
      <c r="U15" s="352"/>
      <c r="V15" s="352"/>
      <c r="W15" s="352"/>
      <c r="X15" s="352"/>
      <c r="Y15" s="352"/>
      <c r="Z15" s="352"/>
      <c r="AA15" s="352"/>
      <c r="AB15" s="352"/>
      <c r="AC15" s="352"/>
      <c r="AD15" s="352"/>
      <c r="AE15" s="352"/>
      <c r="AF15" s="352"/>
      <c r="AG15" s="352"/>
      <c r="AH15" s="352"/>
    </row>
    <row r="16" spans="2:37" s="334" customFormat="1">
      <c r="B16" s="360" t="s">
        <v>461</v>
      </c>
      <c r="C16" s="361">
        <f>SUM(C19:C22)</f>
        <v>442.98199999999997</v>
      </c>
      <c r="D16" s="361">
        <f>AVERAGE(D19:D22)</f>
        <v>2.1500000000000002E-2</v>
      </c>
      <c r="E16" s="362"/>
      <c r="G16" s="363">
        <f t="shared" ref="G16:AJ16" si="4">SUM(G19:G22)</f>
        <v>0</v>
      </c>
      <c r="H16" s="363">
        <f t="shared" si="4"/>
        <v>0</v>
      </c>
      <c r="I16" s="363">
        <f t="shared" si="4"/>
        <v>0</v>
      </c>
      <c r="J16" s="363">
        <f t="shared" si="4"/>
        <v>0</v>
      </c>
      <c r="K16" s="363">
        <f t="shared" si="4"/>
        <v>139858.13537293157</v>
      </c>
      <c r="L16" s="363">
        <f t="shared" si="4"/>
        <v>279774.65452557994</v>
      </c>
      <c r="M16" s="363">
        <f t="shared" si="4"/>
        <v>279775.72772142763</v>
      </c>
      <c r="N16" s="363">
        <f t="shared" si="4"/>
        <v>279717.31414791627</v>
      </c>
      <c r="O16" s="363">
        <f t="shared" si="4"/>
        <v>279690.94917547965</v>
      </c>
      <c r="P16" s="363">
        <f t="shared" si="4"/>
        <v>279600.6343628543</v>
      </c>
      <c r="Q16" s="363">
        <f>SUM(Q19:Q22)</f>
        <v>279471.79871046392</v>
      </c>
      <c r="R16" s="363">
        <f t="shared" si="4"/>
        <v>279311.24156871275</v>
      </c>
      <c r="S16" s="363">
        <f t="shared" si="4"/>
        <v>279121.0436693189</v>
      </c>
      <c r="T16" s="363">
        <f t="shared" si="4"/>
        <v>278746.51882183226</v>
      </c>
      <c r="U16" s="363">
        <f t="shared" si="4"/>
        <v>278188.28746864235</v>
      </c>
      <c r="V16" s="363">
        <f t="shared" si="4"/>
        <v>277447.33383588871</v>
      </c>
      <c r="W16" s="363">
        <f t="shared" si="4"/>
        <v>276525.00308437692</v>
      </c>
      <c r="X16" s="363">
        <f t="shared" si="4"/>
        <v>275422.99726981937</v>
      </c>
      <c r="Y16" s="363">
        <f t="shared" si="4"/>
        <v>274073.0633599399</v>
      </c>
      <c r="Z16" s="363">
        <f t="shared" si="4"/>
        <v>272478.66263460525</v>
      </c>
      <c r="AA16" s="363">
        <f t="shared" si="4"/>
        <v>270643.91446314409</v>
      </c>
      <c r="AB16" s="363">
        <f t="shared" si="4"/>
        <v>268573.57858726644</v>
      </c>
      <c r="AC16" s="363">
        <f t="shared" si="4"/>
        <v>266273.03454128461</v>
      </c>
      <c r="AD16" s="363">
        <f t="shared" si="4"/>
        <v>263641.73264090659</v>
      </c>
      <c r="AE16" s="363">
        <f t="shared" si="4"/>
        <v>260689.43236688874</v>
      </c>
      <c r="AF16" s="363">
        <f t="shared" si="4"/>
        <v>257427.07708786509</v>
      </c>
      <c r="AG16" s="363">
        <f t="shared" si="4"/>
        <v>253866.7263074475</v>
      </c>
      <c r="AH16" s="363">
        <f t="shared" si="4"/>
        <v>250021.48114638095</v>
      </c>
      <c r="AI16" s="363">
        <f t="shared" si="4"/>
        <v>245764.62238258315</v>
      </c>
      <c r="AJ16" s="363">
        <f t="shared" si="4"/>
        <v>241118.38373290753</v>
      </c>
    </row>
    <row r="17" spans="2:36" s="334" customFormat="1" ht="15">
      <c r="G17" s="352"/>
      <c r="H17" s="352"/>
      <c r="I17" s="352"/>
      <c r="J17" s="352"/>
      <c r="K17" s="352"/>
      <c r="L17" s="352"/>
      <c r="M17" s="352"/>
      <c r="N17" s="352"/>
      <c r="O17" s="352"/>
      <c r="P17" s="352"/>
      <c r="Q17" s="352"/>
      <c r="R17" s="352"/>
      <c r="S17" s="352"/>
      <c r="T17" s="352"/>
      <c r="U17" s="352"/>
      <c r="V17" s="352"/>
      <c r="W17" s="352"/>
      <c r="X17" s="352"/>
      <c r="Y17" s="352"/>
      <c r="Z17" s="352"/>
      <c r="AA17" s="352"/>
      <c r="AB17" s="352"/>
      <c r="AC17" s="352"/>
      <c r="AD17" s="352"/>
      <c r="AE17" s="352"/>
      <c r="AF17" s="352"/>
      <c r="AG17" s="352"/>
      <c r="AH17" s="352"/>
    </row>
    <row r="18" spans="2:36" s="334" customFormat="1" ht="15">
      <c r="B18" s="364" t="s">
        <v>462</v>
      </c>
      <c r="D18" s="365"/>
      <c r="G18" s="352"/>
      <c r="H18" s="352"/>
      <c r="I18" s="352"/>
      <c r="J18" s="352"/>
      <c r="K18" s="352"/>
      <c r="L18" s="352"/>
      <c r="M18" s="352"/>
      <c r="N18" s="352"/>
      <c r="O18" s="352"/>
      <c r="P18" s="352"/>
      <c r="Q18" s="352"/>
      <c r="R18" s="352"/>
      <c r="S18" s="352"/>
      <c r="T18" s="352"/>
      <c r="U18" s="352"/>
      <c r="V18" s="352"/>
      <c r="W18" s="352"/>
      <c r="X18" s="352"/>
      <c r="Y18" s="352"/>
      <c r="Z18" s="352"/>
      <c r="AA18" s="352"/>
      <c r="AB18" s="352"/>
      <c r="AC18" s="352"/>
      <c r="AD18" s="352"/>
      <c r="AE18" s="352"/>
      <c r="AF18" s="352"/>
      <c r="AG18" s="352"/>
      <c r="AH18" s="352"/>
    </row>
    <row r="19" spans="2:36" s="334" customFormat="1" ht="15">
      <c r="B19" s="366" t="str">
        <f>B40</f>
        <v>Košice &lt;=&gt; Poprad</v>
      </c>
      <c r="C19" s="367">
        <f>C40</f>
        <v>100.74299999999999</v>
      </c>
      <c r="D19" s="942">
        <f>D40</f>
        <v>2.1500000000000002E-2</v>
      </c>
      <c r="E19" s="355"/>
      <c r="G19" s="368">
        <f t="shared" ref="G19" si="5">$D19*G29*G40</f>
        <v>0</v>
      </c>
      <c r="H19" s="368">
        <f t="shared" ref="H19:AJ19" si="6">$D19*H29*H40</f>
        <v>0</v>
      </c>
      <c r="I19" s="368">
        <f t="shared" si="6"/>
        <v>0</v>
      </c>
      <c r="J19" s="368">
        <f t="shared" si="6"/>
        <v>0</v>
      </c>
      <c r="K19" s="368">
        <f t="shared" si="6"/>
        <v>29945.302671592446</v>
      </c>
      <c r="L19" s="368">
        <f t="shared" si="6"/>
        <v>59951.905679898839</v>
      </c>
      <c r="M19" s="368">
        <f t="shared" si="6"/>
        <v>60004.361892811467</v>
      </c>
      <c r="N19" s="368">
        <f t="shared" si="6"/>
        <v>60045.059137869714</v>
      </c>
      <c r="O19" s="368">
        <f t="shared" si="6"/>
        <v>60108.556563777296</v>
      </c>
      <c r="P19" s="368">
        <f t="shared" si="6"/>
        <v>60164.81304838213</v>
      </c>
      <c r="Q19" s="368">
        <f t="shared" si="6"/>
        <v>60214.943392160145</v>
      </c>
      <c r="R19" s="368">
        <f t="shared" si="6"/>
        <v>60258.572642081272</v>
      </c>
      <c r="S19" s="368">
        <f t="shared" si="6"/>
        <v>60297.276562138461</v>
      </c>
      <c r="T19" s="368">
        <f t="shared" si="6"/>
        <v>60296.073329258717</v>
      </c>
      <c r="U19" s="368">
        <f t="shared" si="6"/>
        <v>60254.938904872011</v>
      </c>
      <c r="V19" s="368">
        <f t="shared" si="6"/>
        <v>60173.92856854319</v>
      </c>
      <c r="W19" s="368">
        <f t="shared" si="6"/>
        <v>60053.176822481655</v>
      </c>
      <c r="X19" s="368">
        <f t="shared" si="6"/>
        <v>59892.89703366295</v>
      </c>
      <c r="Y19" s="368">
        <f t="shared" si="6"/>
        <v>59678.071858954543</v>
      </c>
      <c r="Z19" s="368">
        <f t="shared" si="6"/>
        <v>59409.24123600233</v>
      </c>
      <c r="AA19" s="368">
        <f t="shared" si="6"/>
        <v>59087.092369355072</v>
      </c>
      <c r="AB19" s="368">
        <f t="shared" si="6"/>
        <v>58712.456814389814</v>
      </c>
      <c r="AC19" s="368">
        <f t="shared" si="6"/>
        <v>58286.306906552571</v>
      </c>
      <c r="AD19" s="368">
        <f t="shared" si="6"/>
        <v>57786.402687080939</v>
      </c>
      <c r="AE19" s="368">
        <f t="shared" si="6"/>
        <v>57214.597678077902</v>
      </c>
      <c r="AF19" s="368">
        <f t="shared" si="6"/>
        <v>56573.016340487935</v>
      </c>
      <c r="AG19" s="368">
        <f t="shared" si="6"/>
        <v>55864.040903596193</v>
      </c>
      <c r="AH19" s="368">
        <f t="shared" si="6"/>
        <v>55090.296590852806</v>
      </c>
      <c r="AI19" s="368">
        <f t="shared" si="6"/>
        <v>54223.574485892954</v>
      </c>
      <c r="AJ19" s="368">
        <f t="shared" si="6"/>
        <v>53268.42517778551</v>
      </c>
    </row>
    <row r="20" spans="2:36" s="334" customFormat="1" ht="15">
      <c r="B20" s="366" t="str">
        <f>B41</f>
        <v>Poprad &lt;=&gt; Liptovský Mikuláš</v>
      </c>
      <c r="C20" s="367">
        <f t="shared" ref="C20:C21" si="7">C41</f>
        <v>58.222000000000001</v>
      </c>
      <c r="D20" s="943"/>
      <c r="E20" s="355"/>
      <c r="G20" s="368">
        <f>$D19*G30*G41</f>
        <v>0</v>
      </c>
      <c r="H20" s="368">
        <f t="shared" ref="H20:AJ20" si="8">$D19*H30*H41</f>
        <v>0</v>
      </c>
      <c r="I20" s="368">
        <f t="shared" si="8"/>
        <v>0</v>
      </c>
      <c r="J20" s="368">
        <f t="shared" si="8"/>
        <v>0</v>
      </c>
      <c r="K20" s="368">
        <f t="shared" si="8"/>
        <v>34591.434808409147</v>
      </c>
      <c r="L20" s="368">
        <f t="shared" si="8"/>
        <v>69199.309683584157</v>
      </c>
      <c r="M20" s="368">
        <f t="shared" si="8"/>
        <v>69202.454449167533</v>
      </c>
      <c r="N20" s="368">
        <f t="shared" si="8"/>
        <v>69190.4863005316</v>
      </c>
      <c r="O20" s="368">
        <f t="shared" si="8"/>
        <v>69178.700475450649</v>
      </c>
      <c r="P20" s="368">
        <f t="shared" si="8"/>
        <v>69150.735094202872</v>
      </c>
      <c r="Q20" s="368">
        <f t="shared" si="8"/>
        <v>69113.221631634427</v>
      </c>
      <c r="R20" s="368">
        <f t="shared" si="8"/>
        <v>69067.334223805112</v>
      </c>
      <c r="S20" s="368">
        <f t="shared" si="8"/>
        <v>69012.090049541948</v>
      </c>
      <c r="T20" s="368">
        <f t="shared" si="8"/>
        <v>68911.25251409474</v>
      </c>
      <c r="U20" s="368">
        <f t="shared" si="8"/>
        <v>68764.99145305033</v>
      </c>
      <c r="V20" s="368">
        <f t="shared" si="8"/>
        <v>68573.566681594326</v>
      </c>
      <c r="W20" s="368">
        <f t="shared" si="8"/>
        <v>68337.327235279139</v>
      </c>
      <c r="X20" s="368">
        <f t="shared" si="8"/>
        <v>68056.710316393044</v>
      </c>
      <c r="Y20" s="368">
        <f t="shared" si="8"/>
        <v>67714.869349827466</v>
      </c>
      <c r="Z20" s="368">
        <f t="shared" si="8"/>
        <v>67312.682361330255</v>
      </c>
      <c r="AA20" s="368">
        <f t="shared" si="8"/>
        <v>66851.189698897317</v>
      </c>
      <c r="AB20" s="368">
        <f t="shared" si="8"/>
        <v>66331.589552159116</v>
      </c>
      <c r="AC20" s="368">
        <f t="shared" si="8"/>
        <v>65755.232766829577</v>
      </c>
      <c r="AD20" s="368">
        <f t="shared" si="8"/>
        <v>65097.314106927726</v>
      </c>
      <c r="AE20" s="368">
        <f t="shared" si="8"/>
        <v>64360.274627193154</v>
      </c>
      <c r="AF20" s="368">
        <f t="shared" si="8"/>
        <v>63546.846670809166</v>
      </c>
      <c r="AG20" s="368">
        <f t="shared" si="8"/>
        <v>62660.036949357935</v>
      </c>
      <c r="AH20" s="368">
        <f t="shared" si="8"/>
        <v>61703.107963699797</v>
      </c>
      <c r="AI20" s="368">
        <f t="shared" si="8"/>
        <v>60644.818761607654</v>
      </c>
      <c r="AJ20" s="368">
        <f t="shared" si="8"/>
        <v>59490.695511238941</v>
      </c>
    </row>
    <row r="21" spans="2:36" s="334" customFormat="1" ht="15">
      <c r="B21" s="366" t="str">
        <f>B42</f>
        <v>Liptovský Mikuláš &lt;=&gt;  Žilina</v>
      </c>
      <c r="C21" s="367">
        <f t="shared" si="7"/>
        <v>83.66</v>
      </c>
      <c r="D21" s="943"/>
      <c r="E21" s="355"/>
      <c r="G21" s="368">
        <f>$D19*G31*G42</f>
        <v>0</v>
      </c>
      <c r="H21" s="368">
        <f t="shared" ref="H21:AJ21" si="9">$D19*H31*H42</f>
        <v>0</v>
      </c>
      <c r="I21" s="368">
        <f t="shared" si="9"/>
        <v>0</v>
      </c>
      <c r="J21" s="368">
        <f t="shared" si="9"/>
        <v>0</v>
      </c>
      <c r="K21" s="368">
        <f t="shared" si="9"/>
        <v>30319.23999141388</v>
      </c>
      <c r="L21" s="368">
        <f t="shared" si="9"/>
        <v>60612.415150116045</v>
      </c>
      <c r="M21" s="368">
        <f t="shared" si="9"/>
        <v>60573.464134332316</v>
      </c>
      <c r="N21" s="368">
        <f t="shared" si="9"/>
        <v>60522.325402689974</v>
      </c>
      <c r="O21" s="368">
        <f t="shared" si="9"/>
        <v>60476.858591816694</v>
      </c>
      <c r="P21" s="368">
        <f t="shared" si="9"/>
        <v>60413.578192798515</v>
      </c>
      <c r="Q21" s="368">
        <f t="shared" si="9"/>
        <v>60341.676291582808</v>
      </c>
      <c r="R21" s="368">
        <f t="shared" si="9"/>
        <v>60262.632048923944</v>
      </c>
      <c r="S21" s="368">
        <f t="shared" si="9"/>
        <v>60176.796372523648</v>
      </c>
      <c r="T21" s="368">
        <f t="shared" si="9"/>
        <v>60051.313040965033</v>
      </c>
      <c r="U21" s="368">
        <f t="shared" si="9"/>
        <v>59886.404386772789</v>
      </c>
      <c r="V21" s="368">
        <f t="shared" si="9"/>
        <v>59682.370592551983</v>
      </c>
      <c r="W21" s="368">
        <f t="shared" si="9"/>
        <v>59439.588786557295</v>
      </c>
      <c r="X21" s="368">
        <f t="shared" si="9"/>
        <v>59158.511885289641</v>
      </c>
      <c r="Y21" s="368">
        <f t="shared" si="9"/>
        <v>58824.577175482664</v>
      </c>
      <c r="Z21" s="368">
        <f t="shared" si="9"/>
        <v>58438.646353365439</v>
      </c>
      <c r="AA21" s="368">
        <f t="shared" si="9"/>
        <v>58001.719919811578</v>
      </c>
      <c r="AB21" s="368">
        <f t="shared" si="9"/>
        <v>57514.932858278364</v>
      </c>
      <c r="AC21" s="368">
        <f t="shared" si="9"/>
        <v>56979.549717279086</v>
      </c>
      <c r="AD21" s="368">
        <f t="shared" si="9"/>
        <v>56374.180871911434</v>
      </c>
      <c r="AE21" s="368">
        <f t="shared" si="9"/>
        <v>55701.070787456527</v>
      </c>
      <c r="AF21" s="368">
        <f t="shared" si="9"/>
        <v>54962.710422728764</v>
      </c>
      <c r="AG21" s="368">
        <f t="shared" si="9"/>
        <v>54161.821825909232</v>
      </c>
      <c r="AH21" s="368">
        <f t="shared" si="9"/>
        <v>53301.341353520875</v>
      </c>
      <c r="AI21" s="368">
        <f t="shared" si="9"/>
        <v>52354.411485645192</v>
      </c>
      <c r="AJ21" s="368">
        <f t="shared" si="9"/>
        <v>51325.963045620272</v>
      </c>
    </row>
    <row r="22" spans="2:36" s="334" customFormat="1" ht="15">
      <c r="B22" s="366" t="str">
        <f>B43</f>
        <v>Žilina &lt;=&gt;  Bratislava hl. st.</v>
      </c>
      <c r="C22" s="367">
        <f>C43</f>
        <v>200.357</v>
      </c>
      <c r="D22" s="944"/>
      <c r="E22" s="355"/>
      <c r="G22" s="368">
        <f>$D19*G32*G43</f>
        <v>0</v>
      </c>
      <c r="H22" s="368">
        <f t="shared" ref="H22:AJ22" si="10">$D19*H32*H43</f>
        <v>0</v>
      </c>
      <c r="I22" s="368">
        <f t="shared" si="10"/>
        <v>0</v>
      </c>
      <c r="J22" s="368">
        <f t="shared" si="10"/>
        <v>0</v>
      </c>
      <c r="K22" s="368">
        <f t="shared" si="10"/>
        <v>45002.15790151609</v>
      </c>
      <c r="L22" s="368">
        <f t="shared" si="10"/>
        <v>90011.024011980873</v>
      </c>
      <c r="M22" s="368">
        <f t="shared" si="10"/>
        <v>89995.447245116316</v>
      </c>
      <c r="N22" s="368">
        <f t="shared" si="10"/>
        <v>89959.443306824978</v>
      </c>
      <c r="O22" s="368">
        <f t="shared" si="10"/>
        <v>89926.833544434994</v>
      </c>
      <c r="P22" s="368">
        <f t="shared" si="10"/>
        <v>89871.508027470816</v>
      </c>
      <c r="Q22" s="368">
        <f t="shared" si="10"/>
        <v>89801.957395086516</v>
      </c>
      <c r="R22" s="368">
        <f t="shared" si="10"/>
        <v>89722.702653902394</v>
      </c>
      <c r="S22" s="368">
        <f t="shared" si="10"/>
        <v>89634.88068511484</v>
      </c>
      <c r="T22" s="368">
        <f t="shared" si="10"/>
        <v>89487.879937513761</v>
      </c>
      <c r="U22" s="368">
        <f t="shared" si="10"/>
        <v>89281.952723947252</v>
      </c>
      <c r="V22" s="368">
        <f t="shared" si="10"/>
        <v>89017.467993199214</v>
      </c>
      <c r="W22" s="368">
        <f t="shared" si="10"/>
        <v>88694.910240058816</v>
      </c>
      <c r="X22" s="368">
        <f t="shared" si="10"/>
        <v>88314.878034473746</v>
      </c>
      <c r="Y22" s="368">
        <f t="shared" si="10"/>
        <v>87855.54497567522</v>
      </c>
      <c r="Z22" s="368">
        <f t="shared" si="10"/>
        <v>87318.092683907234</v>
      </c>
      <c r="AA22" s="368">
        <f t="shared" si="10"/>
        <v>86703.912475080098</v>
      </c>
      <c r="AB22" s="368">
        <f t="shared" si="10"/>
        <v>86014.59936243917</v>
      </c>
      <c r="AC22" s="368">
        <f t="shared" si="10"/>
        <v>85251.945150623345</v>
      </c>
      <c r="AD22" s="368">
        <f t="shared" si="10"/>
        <v>84383.834974986516</v>
      </c>
      <c r="AE22" s="368">
        <f t="shared" si="10"/>
        <v>83413.489274161184</v>
      </c>
      <c r="AF22" s="368">
        <f t="shared" si="10"/>
        <v>82344.503653839231</v>
      </c>
      <c r="AG22" s="368">
        <f t="shared" si="10"/>
        <v>81180.826628584153</v>
      </c>
      <c r="AH22" s="368">
        <f t="shared" si="10"/>
        <v>79926.73523830749</v>
      </c>
      <c r="AI22" s="368">
        <f t="shared" si="10"/>
        <v>78541.817649437347</v>
      </c>
      <c r="AJ22" s="368">
        <f t="shared" si="10"/>
        <v>77033.299998262795</v>
      </c>
    </row>
    <row r="23" spans="2:36" s="334" customFormat="1" ht="15"/>
    <row r="24" spans="2:36" s="334" customFormat="1" ht="39" customHeight="1">
      <c r="C24" s="369"/>
      <c r="D24" s="369"/>
      <c r="E24" s="369"/>
    </row>
    <row r="25" spans="2:36" s="334" customFormat="1" ht="15.75" customHeight="1">
      <c r="C25" s="357"/>
      <c r="D25" s="356"/>
      <c r="E25" s="356"/>
      <c r="F25" s="359"/>
    </row>
    <row r="26" spans="2:36" s="334" customFormat="1" ht="15.75" customHeight="1">
      <c r="B26" s="370" t="s">
        <v>463</v>
      </c>
      <c r="C26" s="361"/>
      <c r="D26" s="361"/>
      <c r="E26" s="361"/>
    </row>
    <row r="27" spans="2:36" s="334" customFormat="1" ht="15.75" customHeight="1"/>
    <row r="28" spans="2:36" s="334" customFormat="1" ht="15.75" customHeight="1">
      <c r="B28" s="364" t="s">
        <v>462</v>
      </c>
    </row>
    <row r="29" spans="2:36" s="334" customFormat="1" ht="15.75" customHeight="1">
      <c r="B29" s="921" t="str">
        <f>B40</f>
        <v>Košice &lt;=&gt; Poprad</v>
      </c>
      <c r="C29" s="922"/>
      <c r="D29" s="923"/>
      <c r="E29" s="353"/>
      <c r="G29" s="841">
        <v>0</v>
      </c>
      <c r="H29" s="841">
        <v>0</v>
      </c>
      <c r="I29" s="841">
        <v>0</v>
      </c>
      <c r="J29" s="841">
        <v>0</v>
      </c>
      <c r="K29" s="842">
        <v>0.5</v>
      </c>
      <c r="L29" s="845">
        <v>1</v>
      </c>
      <c r="M29" s="845">
        <v>1</v>
      </c>
      <c r="N29" s="845">
        <v>1</v>
      </c>
      <c r="O29" s="845">
        <v>1</v>
      </c>
      <c r="P29" s="845">
        <v>1</v>
      </c>
      <c r="Q29" s="845">
        <v>1</v>
      </c>
      <c r="R29" s="845">
        <v>1</v>
      </c>
      <c r="S29" s="845">
        <v>1</v>
      </c>
      <c r="T29" s="845">
        <v>1</v>
      </c>
      <c r="U29" s="845">
        <v>1</v>
      </c>
      <c r="V29" s="845">
        <v>1</v>
      </c>
      <c r="W29" s="845">
        <v>1</v>
      </c>
      <c r="X29" s="845">
        <v>1</v>
      </c>
      <c r="Y29" s="845">
        <v>1</v>
      </c>
      <c r="Z29" s="845">
        <v>1</v>
      </c>
      <c r="AA29" s="845">
        <v>1</v>
      </c>
      <c r="AB29" s="845">
        <v>1</v>
      </c>
      <c r="AC29" s="845">
        <v>1</v>
      </c>
      <c r="AD29" s="845">
        <v>1</v>
      </c>
      <c r="AE29" s="845">
        <v>1</v>
      </c>
      <c r="AF29" s="845">
        <v>1</v>
      </c>
      <c r="AG29" s="845">
        <v>1</v>
      </c>
      <c r="AH29" s="845">
        <v>1</v>
      </c>
      <c r="AI29" s="845">
        <v>1</v>
      </c>
      <c r="AJ29" s="845">
        <v>1</v>
      </c>
    </row>
    <row r="30" spans="2:36" s="334" customFormat="1" ht="15.75" customHeight="1">
      <c r="B30" s="939" t="str">
        <f>B41</f>
        <v>Poprad &lt;=&gt; Liptovský Mikuláš</v>
      </c>
      <c r="C30" s="940"/>
      <c r="D30" s="941"/>
      <c r="E30" s="371"/>
      <c r="G30" s="841">
        <v>0</v>
      </c>
      <c r="H30" s="841">
        <v>0</v>
      </c>
      <c r="I30" s="841">
        <v>0</v>
      </c>
      <c r="J30" s="841">
        <v>0</v>
      </c>
      <c r="K30" s="842">
        <v>0.5</v>
      </c>
      <c r="L30" s="845">
        <v>1</v>
      </c>
      <c r="M30" s="845">
        <v>1</v>
      </c>
      <c r="N30" s="845">
        <v>1</v>
      </c>
      <c r="O30" s="845">
        <v>1</v>
      </c>
      <c r="P30" s="845">
        <v>1</v>
      </c>
      <c r="Q30" s="845">
        <v>1</v>
      </c>
      <c r="R30" s="845">
        <v>1</v>
      </c>
      <c r="S30" s="845">
        <v>1</v>
      </c>
      <c r="T30" s="845">
        <v>1</v>
      </c>
      <c r="U30" s="845">
        <v>1</v>
      </c>
      <c r="V30" s="845">
        <v>1</v>
      </c>
      <c r="W30" s="845">
        <v>1</v>
      </c>
      <c r="X30" s="845">
        <v>1</v>
      </c>
      <c r="Y30" s="845">
        <v>1</v>
      </c>
      <c r="Z30" s="845">
        <v>1</v>
      </c>
      <c r="AA30" s="845">
        <v>1</v>
      </c>
      <c r="AB30" s="845">
        <v>1</v>
      </c>
      <c r="AC30" s="845">
        <v>1</v>
      </c>
      <c r="AD30" s="845">
        <v>1</v>
      </c>
      <c r="AE30" s="845">
        <v>1</v>
      </c>
      <c r="AF30" s="845">
        <v>1</v>
      </c>
      <c r="AG30" s="845">
        <v>1</v>
      </c>
      <c r="AH30" s="845">
        <v>1</v>
      </c>
      <c r="AI30" s="845">
        <v>1</v>
      </c>
      <c r="AJ30" s="845">
        <v>1</v>
      </c>
    </row>
    <row r="31" spans="2:36" s="334" customFormat="1" ht="15.75" customHeight="1">
      <c r="B31" s="939" t="str">
        <f>B42</f>
        <v>Liptovský Mikuláš &lt;=&gt;  Žilina</v>
      </c>
      <c r="C31" s="940"/>
      <c r="D31" s="941"/>
      <c r="E31" s="371"/>
      <c r="G31" s="841">
        <v>0</v>
      </c>
      <c r="H31" s="841">
        <v>0</v>
      </c>
      <c r="I31" s="841">
        <v>0</v>
      </c>
      <c r="J31" s="841">
        <v>0</v>
      </c>
      <c r="K31" s="842">
        <v>0.5</v>
      </c>
      <c r="L31" s="845">
        <v>1</v>
      </c>
      <c r="M31" s="845">
        <v>1</v>
      </c>
      <c r="N31" s="845">
        <v>1</v>
      </c>
      <c r="O31" s="845">
        <v>1</v>
      </c>
      <c r="P31" s="845">
        <v>1</v>
      </c>
      <c r="Q31" s="845">
        <v>1</v>
      </c>
      <c r="R31" s="845">
        <v>1</v>
      </c>
      <c r="S31" s="845">
        <v>1</v>
      </c>
      <c r="T31" s="845">
        <v>1</v>
      </c>
      <c r="U31" s="845">
        <v>1</v>
      </c>
      <c r="V31" s="845">
        <v>1</v>
      </c>
      <c r="W31" s="845">
        <v>1</v>
      </c>
      <c r="X31" s="845">
        <v>1</v>
      </c>
      <c r="Y31" s="845">
        <v>1</v>
      </c>
      <c r="Z31" s="845">
        <v>1</v>
      </c>
      <c r="AA31" s="845">
        <v>1</v>
      </c>
      <c r="AB31" s="845">
        <v>1</v>
      </c>
      <c r="AC31" s="845">
        <v>1</v>
      </c>
      <c r="AD31" s="845">
        <v>1</v>
      </c>
      <c r="AE31" s="845">
        <v>1</v>
      </c>
      <c r="AF31" s="845">
        <v>1</v>
      </c>
      <c r="AG31" s="845">
        <v>1</v>
      </c>
      <c r="AH31" s="845">
        <v>1</v>
      </c>
      <c r="AI31" s="845">
        <v>1</v>
      </c>
      <c r="AJ31" s="845">
        <v>1</v>
      </c>
    </row>
    <row r="32" spans="2:36" s="334" customFormat="1" ht="15.75" customHeight="1">
      <c r="B32" s="939" t="str">
        <f>B43</f>
        <v>Žilina &lt;=&gt;  Bratislava hl. st.</v>
      </c>
      <c r="C32" s="940"/>
      <c r="D32" s="941"/>
      <c r="E32" s="371"/>
      <c r="G32" s="841">
        <v>0</v>
      </c>
      <c r="H32" s="841">
        <v>0</v>
      </c>
      <c r="I32" s="841">
        <v>0</v>
      </c>
      <c r="J32" s="841">
        <v>0</v>
      </c>
      <c r="K32" s="842">
        <v>0.5</v>
      </c>
      <c r="L32" s="845">
        <v>1</v>
      </c>
      <c r="M32" s="845">
        <v>1</v>
      </c>
      <c r="N32" s="845">
        <v>1</v>
      </c>
      <c r="O32" s="845">
        <v>1</v>
      </c>
      <c r="P32" s="845">
        <v>1</v>
      </c>
      <c r="Q32" s="845">
        <v>1</v>
      </c>
      <c r="R32" s="845">
        <v>1</v>
      </c>
      <c r="S32" s="845">
        <v>1</v>
      </c>
      <c r="T32" s="845">
        <v>1</v>
      </c>
      <c r="U32" s="845">
        <v>1</v>
      </c>
      <c r="V32" s="845">
        <v>1</v>
      </c>
      <c r="W32" s="845">
        <v>1</v>
      </c>
      <c r="X32" s="845">
        <v>1</v>
      </c>
      <c r="Y32" s="845">
        <v>1</v>
      </c>
      <c r="Z32" s="845">
        <v>1</v>
      </c>
      <c r="AA32" s="845">
        <v>1</v>
      </c>
      <c r="AB32" s="845">
        <v>1</v>
      </c>
      <c r="AC32" s="845">
        <v>1</v>
      </c>
      <c r="AD32" s="845">
        <v>1</v>
      </c>
      <c r="AE32" s="845">
        <v>1</v>
      </c>
      <c r="AF32" s="845">
        <v>1</v>
      </c>
      <c r="AG32" s="845">
        <v>1</v>
      </c>
      <c r="AH32" s="845">
        <v>1</v>
      </c>
      <c r="AI32" s="845">
        <v>1</v>
      </c>
      <c r="AJ32" s="845">
        <v>1</v>
      </c>
    </row>
    <row r="33" spans="2:36" s="334" customFormat="1" ht="15.75" customHeight="1">
      <c r="B33" s="372"/>
      <c r="C33" s="372"/>
      <c r="D33" s="372"/>
      <c r="E33" s="372"/>
      <c r="G33" s="373"/>
      <c r="H33" s="373"/>
      <c r="I33" s="373"/>
      <c r="J33" s="373"/>
      <c r="K33" s="373"/>
      <c r="L33" s="373"/>
      <c r="M33" s="373"/>
      <c r="N33" s="373"/>
      <c r="O33" s="373"/>
      <c r="P33" s="373"/>
      <c r="Q33" s="373"/>
      <c r="R33" s="373"/>
      <c r="S33" s="373"/>
      <c r="T33" s="373"/>
      <c r="U33" s="373"/>
      <c r="V33" s="373"/>
      <c r="W33" s="373"/>
      <c r="X33" s="373"/>
      <c r="Y33" s="373"/>
      <c r="Z33" s="373"/>
      <c r="AA33" s="373"/>
      <c r="AB33" s="373"/>
      <c r="AC33" s="373"/>
      <c r="AD33" s="373"/>
      <c r="AE33" s="373"/>
      <c r="AF33" s="373"/>
      <c r="AG33" s="373"/>
      <c r="AH33" s="373"/>
      <c r="AI33" s="373"/>
    </row>
    <row r="34" spans="2:36" s="334" customFormat="1" ht="39" customHeight="1">
      <c r="C34" s="369"/>
      <c r="D34" s="369"/>
      <c r="E34" s="369"/>
    </row>
    <row r="35" spans="2:36" s="334" customFormat="1" ht="15">
      <c r="E35" s="357"/>
      <c r="F35" s="357"/>
    </row>
    <row r="36" spans="2:36" s="334" customFormat="1" ht="15">
      <c r="C36" s="356" t="s">
        <v>464</v>
      </c>
      <c r="D36" s="356" t="s">
        <v>465</v>
      </c>
      <c r="E36" s="358"/>
      <c r="F36" s="359"/>
      <c r="G36" s="374"/>
      <c r="H36" s="374"/>
      <c r="I36" s="374"/>
      <c r="J36" s="374"/>
      <c r="K36" s="374"/>
      <c r="L36" s="374"/>
      <c r="M36" s="374"/>
      <c r="N36" s="374"/>
      <c r="O36" s="374"/>
      <c r="P36" s="374"/>
      <c r="Q36" s="374"/>
      <c r="R36" s="374"/>
      <c r="S36" s="374"/>
      <c r="T36" s="374"/>
      <c r="U36" s="374"/>
      <c r="V36" s="374"/>
      <c r="W36" s="374"/>
      <c r="X36" s="374"/>
      <c r="Y36" s="374"/>
      <c r="Z36" s="374"/>
      <c r="AA36" s="374"/>
      <c r="AB36" s="374"/>
      <c r="AC36" s="374"/>
      <c r="AD36" s="374"/>
      <c r="AE36" s="374"/>
      <c r="AF36" s="374"/>
      <c r="AG36" s="374"/>
      <c r="AH36" s="374"/>
      <c r="AI36" s="374"/>
    </row>
    <row r="37" spans="2:36" s="334" customFormat="1">
      <c r="B37" s="370" t="s">
        <v>458</v>
      </c>
      <c r="C37" s="361">
        <f>SUM(C40:C43)</f>
        <v>442.98199999999997</v>
      </c>
      <c r="D37" s="361">
        <f>AVERAGE(D40:D43)</f>
        <v>2.1500000000000002E-2</v>
      </c>
      <c r="E37" s="362"/>
      <c r="G37" s="363">
        <f>SUMPRODUCT(G40:G43,$C$40:$C$43)/SUM($C$40:$C$43)</f>
        <v>3473838.8785778577</v>
      </c>
      <c r="H37" s="363">
        <f t="shared" ref="H37:AJ37" si="11">SUMPRODUCT(H40:H43,$C$40:$C$43)/SUM($C$40:$C$43)</f>
        <v>3476524.3613250717</v>
      </c>
      <c r="I37" s="363">
        <f t="shared" si="11"/>
        <v>3478290.0259937411</v>
      </c>
      <c r="J37" s="363">
        <f t="shared" si="11"/>
        <v>3480838.4647763544</v>
      </c>
      <c r="K37" s="363">
        <f t="shared" si="11"/>
        <v>3482480.1244620215</v>
      </c>
      <c r="L37" s="363">
        <f t="shared" si="11"/>
        <v>3483141.20503766</v>
      </c>
      <c r="M37" s="363">
        <f t="shared" si="11"/>
        <v>3483045.4622152164</v>
      </c>
      <c r="N37" s="363">
        <f t="shared" si="11"/>
        <v>3482196.1700717467</v>
      </c>
      <c r="O37" s="363">
        <f t="shared" si="11"/>
        <v>3481710.3903786158</v>
      </c>
      <c r="P37" s="363">
        <f t="shared" si="11"/>
        <v>3480414.7688144115</v>
      </c>
      <c r="Q37" s="363">
        <f t="shared" si="11"/>
        <v>3478620.9958191989</v>
      </c>
      <c r="R37" s="363">
        <f t="shared" si="11"/>
        <v>3476440.3834457314</v>
      </c>
      <c r="S37" s="363">
        <f t="shared" si="11"/>
        <v>3473910.5902583082</v>
      </c>
      <c r="T37" s="363">
        <f t="shared" si="11"/>
        <v>3469086.7557884613</v>
      </c>
      <c r="U37" s="363">
        <f t="shared" si="11"/>
        <v>3461976.9248204348</v>
      </c>
      <c r="V37" s="363">
        <f t="shared" si="11"/>
        <v>3452593.6686810465</v>
      </c>
      <c r="W37" s="363">
        <f t="shared" si="11"/>
        <v>3440954.0487151439</v>
      </c>
      <c r="X37" s="363">
        <f t="shared" si="11"/>
        <v>3427079.5649505346</v>
      </c>
      <c r="Y37" s="363">
        <f t="shared" si="11"/>
        <v>3410121.3065998429</v>
      </c>
      <c r="Z37" s="363">
        <f t="shared" si="11"/>
        <v>3390122.7791052153</v>
      </c>
      <c r="AA37" s="363">
        <f t="shared" si="11"/>
        <v>3367135.6685369224</v>
      </c>
      <c r="AB37" s="363">
        <f t="shared" si="11"/>
        <v>3341219.6192067098</v>
      </c>
      <c r="AC37" s="363">
        <f t="shared" si="11"/>
        <v>3312441.9757229034</v>
      </c>
      <c r="AD37" s="363">
        <f t="shared" si="11"/>
        <v>3279552.3723485456</v>
      </c>
      <c r="AE37" s="363">
        <f t="shared" si="11"/>
        <v>3242672.8006911264</v>
      </c>
      <c r="AF37" s="363">
        <f t="shared" si="11"/>
        <v>3201939.9564658026</v>
      </c>
      <c r="AG37" s="363">
        <f t="shared" si="11"/>
        <v>3157504.3931960184</v>
      </c>
      <c r="AH37" s="363">
        <f t="shared" si="11"/>
        <v>3109529.5920042042</v>
      </c>
      <c r="AI37" s="363">
        <f t="shared" si="11"/>
        <v>3056440.1352701327</v>
      </c>
      <c r="AJ37" s="363">
        <f t="shared" si="11"/>
        <v>2998513.267103144</v>
      </c>
    </row>
    <row r="38" spans="2:36" s="334" customFormat="1" ht="15"/>
    <row r="39" spans="2:36" s="334" customFormat="1" ht="15">
      <c r="B39" s="364" t="s">
        <v>462</v>
      </c>
      <c r="D39" s="365"/>
    </row>
    <row r="40" spans="2:36" s="334" customFormat="1" ht="15">
      <c r="B40" s="366" t="s">
        <v>466</v>
      </c>
      <c r="C40" s="367">
        <v>100.74299999999999</v>
      </c>
      <c r="D40" s="942">
        <f>$D$61/60</f>
        <v>2.1500000000000002E-2</v>
      </c>
      <c r="E40" s="375"/>
      <c r="G40" s="368">
        <v>2773204.5790629224</v>
      </c>
      <c r="H40" s="352">
        <f t="shared" ref="H40:AJ40" si="12">G40*H7</f>
        <v>2775998.1240593689</v>
      </c>
      <c r="I40" s="352">
        <f t="shared" si="12"/>
        <v>2778258.1972125191</v>
      </c>
      <c r="J40" s="352">
        <f t="shared" si="12"/>
        <v>2782204.5571082281</v>
      </c>
      <c r="K40" s="352">
        <f t="shared" si="12"/>
        <v>2785609.5508458088</v>
      </c>
      <c r="L40" s="352">
        <f t="shared" si="12"/>
        <v>2788460.7292976202</v>
      </c>
      <c r="M40" s="352">
        <f t="shared" si="12"/>
        <v>2790900.5531540215</v>
      </c>
      <c r="N40" s="352">
        <f t="shared" si="12"/>
        <v>2792793.4482730096</v>
      </c>
      <c r="O40" s="352">
        <f t="shared" si="12"/>
        <v>2795746.8169198739</v>
      </c>
      <c r="P40" s="352">
        <f t="shared" si="12"/>
        <v>2798363.3975991686</v>
      </c>
      <c r="Q40" s="352">
        <f t="shared" si="12"/>
        <v>2800695.0414958205</v>
      </c>
      <c r="R40" s="352">
        <f t="shared" si="12"/>
        <v>2802724.3089340124</v>
      </c>
      <c r="S40" s="352">
        <f t="shared" si="12"/>
        <v>2804524.4912622538</v>
      </c>
      <c r="T40" s="352">
        <f t="shared" si="12"/>
        <v>2804468.5269422657</v>
      </c>
      <c r="U40" s="352">
        <f t="shared" si="12"/>
        <v>2802555.2979010236</v>
      </c>
      <c r="V40" s="352">
        <f t="shared" si="12"/>
        <v>2798787.3752810783</v>
      </c>
      <c r="W40" s="352">
        <f t="shared" si="12"/>
        <v>2793171.0149991466</v>
      </c>
      <c r="X40" s="352">
        <f t="shared" si="12"/>
        <v>2785716.1411006022</v>
      </c>
      <c r="Y40" s="352">
        <f t="shared" si="12"/>
        <v>2775724.2725095134</v>
      </c>
      <c r="Z40" s="352">
        <f t="shared" si="12"/>
        <v>2763220.5226047593</v>
      </c>
      <c r="AA40" s="352">
        <f t="shared" si="12"/>
        <v>2748236.8543886077</v>
      </c>
      <c r="AB40" s="352">
        <f t="shared" si="12"/>
        <v>2730811.9448553398</v>
      </c>
      <c r="AC40" s="352">
        <f t="shared" si="12"/>
        <v>2710991.0189094217</v>
      </c>
      <c r="AD40" s="352">
        <f t="shared" si="12"/>
        <v>2687739.6598642296</v>
      </c>
      <c r="AE40" s="352">
        <f t="shared" si="12"/>
        <v>2661144.0780501347</v>
      </c>
      <c r="AF40" s="352">
        <f t="shared" si="12"/>
        <v>2631303.0856040898</v>
      </c>
      <c r="AG40" s="352">
        <f t="shared" si="12"/>
        <v>2598327.4838881949</v>
      </c>
      <c r="AH40" s="352">
        <f t="shared" si="12"/>
        <v>2562339.3763187351</v>
      </c>
      <c r="AI40" s="352">
        <f t="shared" si="12"/>
        <v>2522026.7202740908</v>
      </c>
      <c r="AJ40" s="352">
        <f t="shared" si="12"/>
        <v>2477601.171059791</v>
      </c>
    </row>
    <row r="41" spans="2:36" s="334" customFormat="1" ht="15" customHeight="1">
      <c r="B41" s="366" t="s">
        <v>467</v>
      </c>
      <c r="C41" s="367">
        <v>58.222000000000001</v>
      </c>
      <c r="D41" s="943"/>
      <c r="E41" s="375"/>
      <c r="G41" s="368">
        <v>3211515.9098225497</v>
      </c>
      <c r="H41" s="352">
        <f t="shared" ref="H41:AJ41" si="13">G41*H8</f>
        <v>3213052.9241562481</v>
      </c>
      <c r="I41" s="352">
        <f t="shared" si="13"/>
        <v>3213914.4179254109</v>
      </c>
      <c r="J41" s="352">
        <f t="shared" si="13"/>
        <v>3216152.4882379859</v>
      </c>
      <c r="K41" s="352">
        <f t="shared" si="13"/>
        <v>3217807.8891543387</v>
      </c>
      <c r="L41" s="352">
        <f t="shared" si="13"/>
        <v>3218572.5434225188</v>
      </c>
      <c r="M41" s="352">
        <f t="shared" si="13"/>
        <v>3218718.8115891875</v>
      </c>
      <c r="N41" s="352">
        <f t="shared" si="13"/>
        <v>3218162.1535130977</v>
      </c>
      <c r="O41" s="352">
        <f t="shared" si="13"/>
        <v>3217613.9756023553</v>
      </c>
      <c r="P41" s="352">
        <f t="shared" si="13"/>
        <v>3216313.2601954821</v>
      </c>
      <c r="Q41" s="352">
        <f t="shared" si="13"/>
        <v>3214568.4479829962</v>
      </c>
      <c r="R41" s="352">
        <f t="shared" si="13"/>
        <v>3212434.1499444232</v>
      </c>
      <c r="S41" s="352">
        <f t="shared" si="13"/>
        <v>3209864.6534670671</v>
      </c>
      <c r="T41" s="352">
        <f t="shared" si="13"/>
        <v>3205174.5355392899</v>
      </c>
      <c r="U41" s="352">
        <f t="shared" si="13"/>
        <v>3198371.6954907128</v>
      </c>
      <c r="V41" s="352">
        <f t="shared" si="13"/>
        <v>3189468.217748573</v>
      </c>
      <c r="W41" s="352">
        <f t="shared" si="13"/>
        <v>3178480.3365246109</v>
      </c>
      <c r="X41" s="352">
        <f t="shared" si="13"/>
        <v>3165428.3868089784</v>
      </c>
      <c r="Y41" s="352">
        <f t="shared" si="13"/>
        <v>3149528.8069687188</v>
      </c>
      <c r="Z41" s="352">
        <f t="shared" si="13"/>
        <v>3130822.4354107096</v>
      </c>
      <c r="AA41" s="352">
        <f t="shared" si="13"/>
        <v>3109357.6604138282</v>
      </c>
      <c r="AB41" s="352">
        <f t="shared" si="13"/>
        <v>3085190.2117283307</v>
      </c>
      <c r="AC41" s="352">
        <f t="shared" si="13"/>
        <v>3058382.919387422</v>
      </c>
      <c r="AD41" s="352">
        <f t="shared" si="13"/>
        <v>3027782.0514850104</v>
      </c>
      <c r="AE41" s="352">
        <f t="shared" si="13"/>
        <v>2993501.145450844</v>
      </c>
      <c r="AF41" s="352">
        <f t="shared" si="13"/>
        <v>2955667.2870143796</v>
      </c>
      <c r="AG41" s="352">
        <f t="shared" si="13"/>
        <v>2914420.3232259504</v>
      </c>
      <c r="AH41" s="352">
        <f t="shared" si="13"/>
        <v>2869911.9983116183</v>
      </c>
      <c r="AI41" s="352">
        <f t="shared" si="13"/>
        <v>2820689.244725937</v>
      </c>
      <c r="AJ41" s="352">
        <f t="shared" si="13"/>
        <v>2767009.093545997</v>
      </c>
    </row>
    <row r="42" spans="2:36" s="334" customFormat="1" ht="15" customHeight="1">
      <c r="B42" s="366" t="s">
        <v>468</v>
      </c>
      <c r="C42" s="367">
        <v>83.66</v>
      </c>
      <c r="D42" s="943"/>
      <c r="E42" s="375"/>
      <c r="G42" s="368">
        <v>2822197.5830485164</v>
      </c>
      <c r="H42" s="352">
        <f t="shared" ref="H42:AJ42" si="14">G42*H9</f>
        <v>2821766.7953502331</v>
      </c>
      <c r="I42" s="352">
        <f t="shared" si="14"/>
        <v>2820672.3984519648</v>
      </c>
      <c r="J42" s="352">
        <f t="shared" si="14"/>
        <v>2820801.0160898655</v>
      </c>
      <c r="K42" s="352">
        <f t="shared" si="14"/>
        <v>2820394.4178059422</v>
      </c>
      <c r="L42" s="352">
        <f t="shared" si="14"/>
        <v>2819182.1000053971</v>
      </c>
      <c r="M42" s="352">
        <f t="shared" si="14"/>
        <v>2817370.4248526655</v>
      </c>
      <c r="N42" s="352">
        <f t="shared" si="14"/>
        <v>2814991.8791948822</v>
      </c>
      <c r="O42" s="352">
        <f t="shared" si="14"/>
        <v>2812877.1438054275</v>
      </c>
      <c r="P42" s="352">
        <f t="shared" si="14"/>
        <v>2809933.8694324889</v>
      </c>
      <c r="Q42" s="352">
        <f t="shared" si="14"/>
        <v>2806589.5949573396</v>
      </c>
      <c r="R42" s="352">
        <f t="shared" si="14"/>
        <v>2802913.1185546019</v>
      </c>
      <c r="S42" s="352">
        <f t="shared" si="14"/>
        <v>2798920.7615127275</v>
      </c>
      <c r="T42" s="352">
        <f t="shared" si="14"/>
        <v>2793084.3274867455</v>
      </c>
      <c r="U42" s="352">
        <f t="shared" si="14"/>
        <v>2785414.1575243156</v>
      </c>
      <c r="V42" s="352">
        <f t="shared" si="14"/>
        <v>2775924.2136070686</v>
      </c>
      <c r="W42" s="352">
        <f t="shared" si="14"/>
        <v>2764632.0365840602</v>
      </c>
      <c r="X42" s="352">
        <f t="shared" si="14"/>
        <v>2751558.6923390529</v>
      </c>
      <c r="Y42" s="352">
        <f t="shared" si="14"/>
        <v>2736026.8453712864</v>
      </c>
      <c r="Z42" s="352">
        <f t="shared" si="14"/>
        <v>2718076.5745751364</v>
      </c>
      <c r="AA42" s="352">
        <f t="shared" si="14"/>
        <v>2697754.4148749569</v>
      </c>
      <c r="AB42" s="352">
        <f t="shared" si="14"/>
        <v>2675113.1561989933</v>
      </c>
      <c r="AC42" s="352">
        <f t="shared" si="14"/>
        <v>2650211.6147571667</v>
      </c>
      <c r="AD42" s="352">
        <f t="shared" si="14"/>
        <v>2622054.9242749503</v>
      </c>
      <c r="AE42" s="352">
        <f t="shared" si="14"/>
        <v>2590747.4784863498</v>
      </c>
      <c r="AF42" s="352">
        <f t="shared" si="14"/>
        <v>2556405.1359408726</v>
      </c>
      <c r="AG42" s="352">
        <f t="shared" si="14"/>
        <v>2519154.5035306616</v>
      </c>
      <c r="AH42" s="352">
        <f t="shared" si="14"/>
        <v>2479132.1559777148</v>
      </c>
      <c r="AI42" s="352">
        <f t="shared" si="14"/>
        <v>2435088.9063090784</v>
      </c>
      <c r="AJ42" s="352">
        <f t="shared" si="14"/>
        <v>2387254.0951451287</v>
      </c>
    </row>
    <row r="43" spans="2:36" s="334" customFormat="1" ht="15">
      <c r="B43" s="366" t="s">
        <v>469</v>
      </c>
      <c r="C43" s="367">
        <v>200.357</v>
      </c>
      <c r="D43" s="944"/>
      <c r="E43" s="375"/>
      <c r="G43" s="368">
        <v>4174454.6789087141</v>
      </c>
      <c r="H43" s="352">
        <f t="shared" ref="H43:AJ43" si="15">G43*H10</f>
        <v>4178720.7742537786</v>
      </c>
      <c r="I43" s="352">
        <f t="shared" si="15"/>
        <v>4181694.8179401457</v>
      </c>
      <c r="J43" s="352">
        <f t="shared" si="15"/>
        <v>4184640.9555470208</v>
      </c>
      <c r="K43" s="352">
        <f t="shared" si="15"/>
        <v>4186247.246652659</v>
      </c>
      <c r="L43" s="352">
        <f t="shared" si="15"/>
        <v>4186559.2563712029</v>
      </c>
      <c r="M43" s="352">
        <f t="shared" si="15"/>
        <v>4185834.7555868053</v>
      </c>
      <c r="N43" s="352">
        <f t="shared" si="15"/>
        <v>4184160.1538058124</v>
      </c>
      <c r="O43" s="352">
        <f t="shared" si="15"/>
        <v>4182643.4206713946</v>
      </c>
      <c r="P43" s="352">
        <f t="shared" si="15"/>
        <v>4180070.1408125958</v>
      </c>
      <c r="Q43" s="352">
        <f t="shared" si="15"/>
        <v>4176835.2276784424</v>
      </c>
      <c r="R43" s="352">
        <f t="shared" si="15"/>
        <v>4173148.9606466228</v>
      </c>
      <c r="S43" s="352">
        <f t="shared" si="15"/>
        <v>4169064.2179123177</v>
      </c>
      <c r="T43" s="352">
        <f t="shared" si="15"/>
        <v>4162226.9738378488</v>
      </c>
      <c r="U43" s="352">
        <f t="shared" si="15"/>
        <v>4152648.9639045228</v>
      </c>
      <c r="V43" s="352">
        <f t="shared" si="15"/>
        <v>4140347.3485208931</v>
      </c>
      <c r="W43" s="352">
        <f t="shared" si="15"/>
        <v>4125344.6623283164</v>
      </c>
      <c r="X43" s="352">
        <f t="shared" si="15"/>
        <v>4107668.7457894762</v>
      </c>
      <c r="Y43" s="352">
        <f t="shared" si="15"/>
        <v>4086304.4174732654</v>
      </c>
      <c r="Z43" s="352">
        <f t="shared" si="15"/>
        <v>4061306.6364608016</v>
      </c>
      <c r="AA43" s="352">
        <f t="shared" si="15"/>
        <v>4032740.1151200044</v>
      </c>
      <c r="AB43" s="352">
        <f t="shared" si="15"/>
        <v>4000679.0401134496</v>
      </c>
      <c r="AC43" s="352">
        <f t="shared" si="15"/>
        <v>3965206.7511917832</v>
      </c>
      <c r="AD43" s="352">
        <f t="shared" si="15"/>
        <v>3924829.5337203024</v>
      </c>
      <c r="AE43" s="352">
        <f t="shared" si="15"/>
        <v>3879697.1755423802</v>
      </c>
      <c r="AF43" s="352">
        <f t="shared" si="15"/>
        <v>3829976.9141320572</v>
      </c>
      <c r="AG43" s="352">
        <f t="shared" si="15"/>
        <v>3775852.4013294955</v>
      </c>
      <c r="AH43" s="352">
        <f t="shared" si="15"/>
        <v>3717522.5692236037</v>
      </c>
      <c r="AI43" s="352">
        <f t="shared" si="15"/>
        <v>3653107.7976482483</v>
      </c>
      <c r="AJ43" s="352">
        <f t="shared" si="15"/>
        <v>3582944.1859657108</v>
      </c>
    </row>
    <row r="44" spans="2:36" s="334" customFormat="1" ht="15"/>
    <row r="45" spans="2:36" s="334" customFormat="1" ht="15"/>
    <row r="46" spans="2:36" s="334" customFormat="1" ht="15">
      <c r="L46" s="376"/>
    </row>
    <row r="47" spans="2:36" s="334" customFormat="1" thickBot="1"/>
    <row r="48" spans="2:36" s="334" customFormat="1" ht="15">
      <c r="B48" s="935" t="s">
        <v>478</v>
      </c>
      <c r="C48" s="384" t="s">
        <v>479</v>
      </c>
      <c r="D48" s="937" t="s">
        <v>475</v>
      </c>
    </row>
    <row r="49" spans="2:4" s="334" customFormat="1" thickBot="1">
      <c r="B49" s="936"/>
      <c r="C49" s="385" t="s">
        <v>480</v>
      </c>
      <c r="D49" s="938"/>
    </row>
    <row r="50" spans="2:4">
      <c r="B50" s="386" t="s">
        <v>481</v>
      </c>
      <c r="C50" s="387">
        <v>0.15</v>
      </c>
      <c r="D50" s="387">
        <v>0.15</v>
      </c>
    </row>
    <row r="51" spans="2:4">
      <c r="B51" s="388" t="s">
        <v>482</v>
      </c>
      <c r="C51" s="389">
        <v>0.22</v>
      </c>
      <c r="D51" s="389">
        <v>0.22</v>
      </c>
    </row>
    <row r="52" spans="2:4">
      <c r="B52" s="388" t="s">
        <v>483</v>
      </c>
      <c r="C52" s="389">
        <v>7.0000000000000007E-2</v>
      </c>
      <c r="D52" s="389">
        <v>7.0000000000000007E-2</v>
      </c>
    </row>
    <row r="53" spans="2:4">
      <c r="B53" s="388" t="s">
        <v>484</v>
      </c>
      <c r="C53" s="389">
        <v>0.1</v>
      </c>
      <c r="D53" s="389">
        <v>0.1</v>
      </c>
    </row>
    <row r="54" spans="2:4">
      <c r="B54" s="388" t="s">
        <v>485</v>
      </c>
      <c r="C54" s="389">
        <v>0.22</v>
      </c>
      <c r="D54" s="389">
        <v>0.22</v>
      </c>
    </row>
    <row r="55" spans="2:4">
      <c r="B55" s="388" t="s">
        <v>486</v>
      </c>
      <c r="C55" s="389">
        <v>0.15</v>
      </c>
      <c r="D55" s="389">
        <v>0.15</v>
      </c>
    </row>
    <row r="56" spans="2:4">
      <c r="B56" s="388" t="s">
        <v>487</v>
      </c>
      <c r="C56" s="389">
        <v>0.13</v>
      </c>
      <c r="D56" s="389">
        <v>0</v>
      </c>
    </row>
    <row r="57" spans="2:4">
      <c r="B57" s="388" t="s">
        <v>488</v>
      </c>
      <c r="C57" s="389">
        <v>0.26</v>
      </c>
      <c r="D57" s="389">
        <v>0</v>
      </c>
    </row>
    <row r="58" spans="2:4">
      <c r="B58" s="388" t="s">
        <v>489</v>
      </c>
      <c r="C58" s="389">
        <v>0.08</v>
      </c>
      <c r="D58" s="389">
        <v>0</v>
      </c>
    </row>
    <row r="59" spans="2:4">
      <c r="B59" s="388" t="s">
        <v>490</v>
      </c>
      <c r="C59" s="389">
        <v>0.16</v>
      </c>
      <c r="D59" s="389">
        <v>0</v>
      </c>
    </row>
    <row r="60" spans="2:4" ht="16.5" thickBot="1">
      <c r="B60" s="388" t="s">
        <v>491</v>
      </c>
      <c r="C60" s="390">
        <v>0.38</v>
      </c>
      <c r="D60" s="390">
        <v>0.38</v>
      </c>
    </row>
    <row r="61" spans="2:4" ht="16.5" thickBot="1">
      <c r="B61" s="391" t="s">
        <v>492</v>
      </c>
      <c r="C61" s="395">
        <f>SUM(C50:C60)</f>
        <v>1.92</v>
      </c>
      <c r="D61" s="924">
        <f>SUM(D50:D60)</f>
        <v>1.29</v>
      </c>
    </row>
    <row r="62" spans="2:4" ht="16.5" thickBot="1">
      <c r="B62" s="392" t="s">
        <v>493</v>
      </c>
      <c r="C62" s="393">
        <v>2.23</v>
      </c>
      <c r="D62" s="925"/>
    </row>
    <row r="63" spans="2:4" ht="26.25">
      <c r="B63" s="394" t="s">
        <v>494</v>
      </c>
      <c r="C63"/>
      <c r="D63"/>
    </row>
  </sheetData>
  <sheetProtection algorithmName="SHA-512" hashValue="sfaeHdHnUuuvlPmEyO3SqT9hsfe+7yxcBCxBMCX/u4krPaCiVzfsoapZv17XT68uBK4GiG9jdRSesX4gaG28GQ==" saltValue="DlOriG71eA2/uZCXf7C8jg==" spinCount="100000" sheet="1" objects="1" scenarios="1"/>
  <mergeCells count="15">
    <mergeCell ref="B29:D29"/>
    <mergeCell ref="D61:D62"/>
    <mergeCell ref="B1:F1"/>
    <mergeCell ref="C4:F4"/>
    <mergeCell ref="C6:F6"/>
    <mergeCell ref="B7:C10"/>
    <mergeCell ref="E7:F10"/>
    <mergeCell ref="B48:B49"/>
    <mergeCell ref="D48:D49"/>
    <mergeCell ref="B30:D30"/>
    <mergeCell ref="B31:D31"/>
    <mergeCell ref="B32:D32"/>
    <mergeCell ref="D40:D43"/>
    <mergeCell ref="D19:D22"/>
    <mergeCell ref="B11:D11"/>
  </mergeCells>
  <conditionalFormatting sqref="G29:AJ32">
    <cfRule type="cellIs" dxfId="15" priority="1" operator="between">
      <formula>0.01</formula>
      <formula>0.99</formula>
    </cfRule>
    <cfRule type="cellIs" dxfId="14" priority="2" operator="equal">
      <formul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B2:AG19"/>
  <sheetViews>
    <sheetView zoomScale="80" zoomScaleNormal="80" workbookViewId="0">
      <selection activeCell="C5" sqref="C5"/>
    </sheetView>
  </sheetViews>
  <sheetFormatPr defaultColWidth="9.140625" defaultRowHeight="11.25"/>
  <cols>
    <col min="1" max="1" width="2.7109375" style="2" customWidth="1"/>
    <col min="2" max="2" width="45.42578125" style="2" bestFit="1" customWidth="1"/>
    <col min="3" max="3" width="10.7109375" style="2" customWidth="1"/>
    <col min="4" max="33" width="8.7109375" style="2" customWidth="1"/>
    <col min="34" max="16384" width="9.140625" style="2"/>
  </cols>
  <sheetData>
    <row r="2" spans="2:33">
      <c r="B2" s="3"/>
      <c r="C2" s="3"/>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c r="C3" s="4"/>
      <c r="D3" s="3">
        <v>1</v>
      </c>
      <c r="E3" s="3">
        <v>2</v>
      </c>
      <c r="F3" s="3">
        <v>3</v>
      </c>
      <c r="G3" s="3">
        <v>4</v>
      </c>
      <c r="H3" s="3">
        <v>5</v>
      </c>
      <c r="I3" s="3">
        <v>6</v>
      </c>
      <c r="J3" s="3">
        <v>7</v>
      </c>
      <c r="K3" s="3">
        <v>8</v>
      </c>
      <c r="L3" s="3">
        <v>9</v>
      </c>
      <c r="M3" s="3">
        <v>10</v>
      </c>
      <c r="N3" s="3">
        <v>11</v>
      </c>
      <c r="O3" s="3">
        <v>12</v>
      </c>
      <c r="P3" s="3">
        <v>13</v>
      </c>
      <c r="Q3" s="3">
        <v>14</v>
      </c>
      <c r="R3" s="3">
        <v>15</v>
      </c>
      <c r="S3" s="3">
        <v>16</v>
      </c>
      <c r="T3" s="3">
        <v>17</v>
      </c>
      <c r="U3" s="3">
        <v>18</v>
      </c>
      <c r="V3" s="3">
        <v>19</v>
      </c>
      <c r="W3" s="3">
        <v>20</v>
      </c>
      <c r="X3" s="3">
        <v>21</v>
      </c>
      <c r="Y3" s="3">
        <v>22</v>
      </c>
      <c r="Z3" s="3">
        <v>23</v>
      </c>
      <c r="AA3" s="3">
        <v>24</v>
      </c>
      <c r="AB3" s="3">
        <v>25</v>
      </c>
      <c r="AC3" s="3">
        <v>26</v>
      </c>
      <c r="AD3" s="3">
        <v>27</v>
      </c>
      <c r="AE3" s="3">
        <v>28</v>
      </c>
      <c r="AF3" s="3">
        <v>29</v>
      </c>
      <c r="AG3" s="3">
        <v>30</v>
      </c>
    </row>
    <row r="4" spans="2:33">
      <c r="B4" s="6" t="s">
        <v>450</v>
      </c>
      <c r="C4" s="6" t="s">
        <v>9</v>
      </c>
      <c r="D4" s="17">
        <f>Parametre!C13</f>
        <v>2023</v>
      </c>
      <c r="E4" s="17">
        <f>$D$4+D3</f>
        <v>2024</v>
      </c>
      <c r="F4" s="17">
        <f>$D$4+E3</f>
        <v>2025</v>
      </c>
      <c r="G4" s="17">
        <f t="shared" ref="G4:AF4" si="0">$D$4+F3</f>
        <v>2026</v>
      </c>
      <c r="H4" s="17">
        <f t="shared" si="0"/>
        <v>2027</v>
      </c>
      <c r="I4" s="17">
        <f t="shared" si="0"/>
        <v>2028</v>
      </c>
      <c r="J4" s="17">
        <f t="shared" si="0"/>
        <v>2029</v>
      </c>
      <c r="K4" s="17">
        <f t="shared" si="0"/>
        <v>2030</v>
      </c>
      <c r="L4" s="17">
        <f t="shared" si="0"/>
        <v>2031</v>
      </c>
      <c r="M4" s="17">
        <f t="shared" si="0"/>
        <v>2032</v>
      </c>
      <c r="N4" s="17">
        <f t="shared" si="0"/>
        <v>2033</v>
      </c>
      <c r="O4" s="17">
        <f t="shared" si="0"/>
        <v>2034</v>
      </c>
      <c r="P4" s="17">
        <f t="shared" si="0"/>
        <v>2035</v>
      </c>
      <c r="Q4" s="17">
        <f t="shared" si="0"/>
        <v>2036</v>
      </c>
      <c r="R4" s="17">
        <f t="shared" si="0"/>
        <v>2037</v>
      </c>
      <c r="S4" s="17">
        <f t="shared" si="0"/>
        <v>2038</v>
      </c>
      <c r="T4" s="17">
        <f t="shared" si="0"/>
        <v>2039</v>
      </c>
      <c r="U4" s="17">
        <f t="shared" si="0"/>
        <v>2040</v>
      </c>
      <c r="V4" s="17">
        <f t="shared" si="0"/>
        <v>2041</v>
      </c>
      <c r="W4" s="17">
        <f t="shared" si="0"/>
        <v>2042</v>
      </c>
      <c r="X4" s="17">
        <f t="shared" si="0"/>
        <v>2043</v>
      </c>
      <c r="Y4" s="17">
        <f t="shared" si="0"/>
        <v>2044</v>
      </c>
      <c r="Z4" s="17">
        <f t="shared" si="0"/>
        <v>2045</v>
      </c>
      <c r="AA4" s="17">
        <f t="shared" si="0"/>
        <v>2046</v>
      </c>
      <c r="AB4" s="17">
        <f t="shared" si="0"/>
        <v>2047</v>
      </c>
      <c r="AC4" s="17">
        <f t="shared" si="0"/>
        <v>2048</v>
      </c>
      <c r="AD4" s="17">
        <f t="shared" si="0"/>
        <v>2049</v>
      </c>
      <c r="AE4" s="17">
        <f t="shared" si="0"/>
        <v>2050</v>
      </c>
      <c r="AF4" s="17">
        <f t="shared" si="0"/>
        <v>2051</v>
      </c>
      <c r="AG4" s="17">
        <f t="shared" ref="AG4" si="1">$D$4+AF3</f>
        <v>2052</v>
      </c>
    </row>
    <row r="5" spans="2:33" ht="12" thickBot="1">
      <c r="B5" s="22" t="s">
        <v>451</v>
      </c>
      <c r="C5" s="131">
        <f>SUM(D5:AG5)</f>
        <v>6887223.3489864646</v>
      </c>
      <c r="D5" s="131">
        <f>'Úspora času cestujúci - nákup'!G4</f>
        <v>0</v>
      </c>
      <c r="E5" s="131">
        <f>'Úspora času cestujúci - nákup'!H4</f>
        <v>0</v>
      </c>
      <c r="F5" s="131">
        <f>'Úspora času cestujúci - nákup'!I4</f>
        <v>0</v>
      </c>
      <c r="G5" s="131">
        <f>'Úspora času cestujúci - nákup'!J4</f>
        <v>0</v>
      </c>
      <c r="H5" s="131">
        <f>'Úspora času cestujúci - nákup'!K4</f>
        <v>139858.13537293157</v>
      </c>
      <c r="I5" s="131">
        <f>'Úspora času cestujúci - nákup'!L4</f>
        <v>279774.65452557994</v>
      </c>
      <c r="J5" s="131">
        <f>'Úspora času cestujúci - nákup'!M4</f>
        <v>279775.72772142763</v>
      </c>
      <c r="K5" s="131">
        <f>'Úspora času cestujúci - nákup'!N4</f>
        <v>279717.31414791627</v>
      </c>
      <c r="L5" s="131">
        <f>'Úspora času cestujúci - nákup'!O4</f>
        <v>279690.94917547965</v>
      </c>
      <c r="M5" s="131">
        <f>'Úspora času cestujúci - nákup'!P4</f>
        <v>279600.6343628543</v>
      </c>
      <c r="N5" s="131">
        <f>'Úspora času cestujúci - nákup'!Q4</f>
        <v>279471.79871046392</v>
      </c>
      <c r="O5" s="131">
        <f>'Úspora času cestujúci - nákup'!R4</f>
        <v>279311.24156871275</v>
      </c>
      <c r="P5" s="131">
        <f>'Úspora času cestujúci - nákup'!S4</f>
        <v>279121.0436693189</v>
      </c>
      <c r="Q5" s="131">
        <f>'Úspora času cestujúci - nákup'!T4</f>
        <v>278746.51882183226</v>
      </c>
      <c r="R5" s="131">
        <f>'Úspora času cestujúci - nákup'!U4</f>
        <v>278188.28746864235</v>
      </c>
      <c r="S5" s="131">
        <f>'Úspora času cestujúci - nákup'!V4</f>
        <v>277447.33383588871</v>
      </c>
      <c r="T5" s="131">
        <f>'Úspora času cestujúci - nákup'!W4</f>
        <v>276525.00308437692</v>
      </c>
      <c r="U5" s="131">
        <f>'Úspora času cestujúci - nákup'!X4</f>
        <v>275422.99726981937</v>
      </c>
      <c r="V5" s="131">
        <f>'Úspora času cestujúci - nákup'!Y4</f>
        <v>274073.0633599399</v>
      </c>
      <c r="W5" s="131">
        <f>'Úspora času cestujúci - nákup'!Z4</f>
        <v>272478.66263460525</v>
      </c>
      <c r="X5" s="131">
        <f>'Úspora času cestujúci - nákup'!AA4</f>
        <v>270643.91446314409</v>
      </c>
      <c r="Y5" s="131">
        <f>'Úspora času cestujúci - nákup'!AB4</f>
        <v>268573.57858726644</v>
      </c>
      <c r="Z5" s="131">
        <f>'Úspora času cestujúci - nákup'!AC4</f>
        <v>266273.03454128461</v>
      </c>
      <c r="AA5" s="131">
        <f>'Úspora času cestujúci - nákup'!AD4</f>
        <v>263641.73264090659</v>
      </c>
      <c r="AB5" s="131">
        <f>'Úspora času cestujúci - nákup'!AE4</f>
        <v>260689.43236688874</v>
      </c>
      <c r="AC5" s="131">
        <f>'Úspora času cestujúci - nákup'!AF4</f>
        <v>257427.07708786509</v>
      </c>
      <c r="AD5" s="131">
        <f>'Úspora času cestujúci - nákup'!AG4</f>
        <v>253866.7263074475</v>
      </c>
      <c r="AE5" s="131">
        <f>'Úspora času cestujúci - nákup'!AH4</f>
        <v>250021.48114638095</v>
      </c>
      <c r="AF5" s="131">
        <f>'Úspora času cestujúci - nákup'!AI4</f>
        <v>245764.62238258315</v>
      </c>
      <c r="AG5" s="131">
        <f>'Úspora času cestujúci - nákup'!AJ4</f>
        <v>241118.38373290753</v>
      </c>
    </row>
    <row r="6" spans="2:33" ht="12" thickTop="1">
      <c r="B6" s="25" t="s">
        <v>184</v>
      </c>
      <c r="C6" s="132">
        <f>SUM(D6:AG6)</f>
        <v>296150.60400641791</v>
      </c>
      <c r="D6" s="132">
        <f>D5*Parametre!$C$78</f>
        <v>0</v>
      </c>
      <c r="E6" s="132">
        <f>E5*Parametre!$C$78</f>
        <v>0</v>
      </c>
      <c r="F6" s="132">
        <f>F5*Parametre!$C$78</f>
        <v>0</v>
      </c>
      <c r="G6" s="132">
        <f>G5*Parametre!$C$78</f>
        <v>0</v>
      </c>
      <c r="H6" s="132">
        <f>H5*Parametre!$C$78</f>
        <v>6013.8998210360569</v>
      </c>
      <c r="I6" s="132">
        <f>I5*Parametre!$C$78</f>
        <v>12030.310144599936</v>
      </c>
      <c r="J6" s="132">
        <f>J5*Parametre!$C$78</f>
        <v>12030.356292021386</v>
      </c>
      <c r="K6" s="132">
        <f>K5*Parametre!$C$78</f>
        <v>12027.844508360398</v>
      </c>
      <c r="L6" s="132">
        <f>L5*Parametre!$C$78</f>
        <v>12026.710814545624</v>
      </c>
      <c r="M6" s="132">
        <f>M5*Parametre!$C$78</f>
        <v>12022.827277602733</v>
      </c>
      <c r="N6" s="132">
        <f>N5*Parametre!$C$78</f>
        <v>12017.287344549948</v>
      </c>
      <c r="O6" s="132">
        <f>O5*Parametre!$C$78</f>
        <v>12010.383387454647</v>
      </c>
      <c r="P6" s="132">
        <f>P5*Parametre!$C$78</f>
        <v>12002.204877780712</v>
      </c>
      <c r="Q6" s="132">
        <f>Q5*Parametre!$C$78</f>
        <v>11986.100309338786</v>
      </c>
      <c r="R6" s="132">
        <f>R5*Parametre!$C$78</f>
        <v>11962.09636115162</v>
      </c>
      <c r="S6" s="132">
        <f>S5*Parametre!$C$78</f>
        <v>11930.235354943214</v>
      </c>
      <c r="T6" s="132">
        <f>T5*Parametre!$C$78</f>
        <v>11890.575132628206</v>
      </c>
      <c r="U6" s="132">
        <f>U5*Parametre!$C$78</f>
        <v>11843.188882602231</v>
      </c>
      <c r="V6" s="132">
        <f>V5*Parametre!$C$78</f>
        <v>11785.141724477415</v>
      </c>
      <c r="W6" s="132">
        <f>W5*Parametre!$C$78</f>
        <v>11716.582493288024</v>
      </c>
      <c r="X6" s="132">
        <f>X5*Parametre!$C$78</f>
        <v>11637.688321915195</v>
      </c>
      <c r="Y6" s="132">
        <f>Y5*Parametre!$C$78</f>
        <v>11548.663879252455</v>
      </c>
      <c r="Z6" s="132">
        <f>Z5*Parametre!$C$78</f>
        <v>11449.740485275237</v>
      </c>
      <c r="AA6" s="132">
        <f>AA5*Parametre!$C$78</f>
        <v>11336.594503558983</v>
      </c>
      <c r="AB6" s="132">
        <f>AB5*Parametre!$C$78</f>
        <v>11209.645591776214</v>
      </c>
      <c r="AC6" s="132">
        <f>AC5*Parametre!$C$78</f>
        <v>11069.364314778199</v>
      </c>
      <c r="AD6" s="132">
        <f>AD5*Parametre!$C$78</f>
        <v>10916.269231220242</v>
      </c>
      <c r="AE6" s="132">
        <f>AE5*Parametre!$C$78</f>
        <v>10750.923689294379</v>
      </c>
      <c r="AF6" s="132">
        <f>AF5*Parametre!$C$78</f>
        <v>10567.878762451075</v>
      </c>
      <c r="AG6" s="132">
        <f>AG5*Parametre!$C$78</f>
        <v>10368.090500515023</v>
      </c>
    </row>
    <row r="7" spans="2:33">
      <c r="B7" s="3" t="s">
        <v>115</v>
      </c>
      <c r="C7" s="130">
        <f>SUM(D7:AG7)</f>
        <v>1763129.1773405347</v>
      </c>
      <c r="D7" s="130">
        <f>D5*Parametre!$D$78</f>
        <v>0</v>
      </c>
      <c r="E7" s="130">
        <f>E5*Parametre!$D$78</f>
        <v>0</v>
      </c>
      <c r="F7" s="130">
        <f>F5*Parametre!$D$78</f>
        <v>0</v>
      </c>
      <c r="G7" s="130">
        <f>G5*Parametre!$D$78</f>
        <v>0</v>
      </c>
      <c r="H7" s="130">
        <f>H5*Parametre!$D$78</f>
        <v>35803.682655470482</v>
      </c>
      <c r="I7" s="130">
        <f>I5*Parametre!$D$78</f>
        <v>71622.311558548463</v>
      </c>
      <c r="J7" s="130">
        <f>J5*Parametre!$D$78</f>
        <v>71622.586296685477</v>
      </c>
      <c r="K7" s="130">
        <f>K5*Parametre!$D$78</f>
        <v>71607.632421866569</v>
      </c>
      <c r="L7" s="130">
        <f>L5*Parametre!$D$78</f>
        <v>71600.882988922793</v>
      </c>
      <c r="M7" s="130">
        <f>M5*Parametre!$D$78</f>
        <v>71577.762396890699</v>
      </c>
      <c r="N7" s="130">
        <f>N5*Parametre!$D$78</f>
        <v>71544.780469878766</v>
      </c>
      <c r="O7" s="130">
        <f>O5*Parametre!$D$78</f>
        <v>71503.67784159047</v>
      </c>
      <c r="P7" s="130">
        <f>P5*Parametre!$D$78</f>
        <v>71454.98717934564</v>
      </c>
      <c r="Q7" s="130">
        <f>Q5*Parametre!$D$78</f>
        <v>71359.108818389053</v>
      </c>
      <c r="R7" s="130">
        <f>R5*Parametre!$D$78</f>
        <v>71216.201591972436</v>
      </c>
      <c r="S7" s="130">
        <f>S5*Parametre!$D$78</f>
        <v>71026.517461987518</v>
      </c>
      <c r="T7" s="130">
        <f>T5*Parametre!$D$78</f>
        <v>70790.400789600491</v>
      </c>
      <c r="U7" s="130">
        <f>U5*Parametre!$D$78</f>
        <v>70508.287301073768</v>
      </c>
      <c r="V7" s="130">
        <f>V5*Parametre!$D$78</f>
        <v>70162.704220144617</v>
      </c>
      <c r="W7" s="130">
        <f>W5*Parametre!$D$78</f>
        <v>69754.537634458946</v>
      </c>
      <c r="X7" s="130">
        <f>X5*Parametre!$D$78</f>
        <v>69284.842102564886</v>
      </c>
      <c r="Y7" s="130">
        <f>Y5*Parametre!$D$78</f>
        <v>68754.836118340216</v>
      </c>
      <c r="Z7" s="130">
        <f>Z5*Parametre!$D$78</f>
        <v>68165.896842568865</v>
      </c>
      <c r="AA7" s="130">
        <f>AA5*Parametre!$D$78</f>
        <v>67492.283556072085</v>
      </c>
      <c r="AB7" s="130">
        <f>AB5*Parametre!$D$78</f>
        <v>66736.494685923521</v>
      </c>
      <c r="AC7" s="130">
        <f>AC5*Parametre!$D$78</f>
        <v>65901.331734493462</v>
      </c>
      <c r="AD7" s="130">
        <f>AD5*Parametre!$D$78</f>
        <v>64989.881934706566</v>
      </c>
      <c r="AE7" s="130">
        <f>AE5*Parametre!$D$78</f>
        <v>64005.499173473523</v>
      </c>
      <c r="AF7" s="130">
        <f>AF5*Parametre!$D$78</f>
        <v>62915.743329941288</v>
      </c>
      <c r="AG7" s="130">
        <f>AG5*Parametre!$D$78</f>
        <v>61726.306235624332</v>
      </c>
    </row>
    <row r="8" spans="2:33">
      <c r="B8" s="3" t="s">
        <v>116</v>
      </c>
      <c r="C8" s="130">
        <f>SUM(D8:AG8)</f>
        <v>4827943.5676395101</v>
      </c>
      <c r="D8" s="130">
        <f>D5*Parametre!$E$78</f>
        <v>0</v>
      </c>
      <c r="E8" s="130">
        <f>E5*Parametre!$E$78</f>
        <v>0</v>
      </c>
      <c r="F8" s="130">
        <f>F5*Parametre!$E$78</f>
        <v>0</v>
      </c>
      <c r="G8" s="130">
        <f>G5*Parametre!$E$78</f>
        <v>0</v>
      </c>
      <c r="H8" s="130">
        <f>H5*Parametre!$E$78</f>
        <v>98040.552896425026</v>
      </c>
      <c r="I8" s="130">
        <f>I5*Parametre!$E$78</f>
        <v>196122.03282243153</v>
      </c>
      <c r="J8" s="130">
        <f>J5*Parametre!$E$78</f>
        <v>196122.78513272075</v>
      </c>
      <c r="K8" s="130">
        <f>K5*Parametre!$E$78</f>
        <v>196081.83721768929</v>
      </c>
      <c r="L8" s="130">
        <f>L5*Parametre!$E$78</f>
        <v>196063.35537201122</v>
      </c>
      <c r="M8" s="130">
        <f>M5*Parametre!$E$78</f>
        <v>196000.04468836085</v>
      </c>
      <c r="N8" s="130">
        <f>N5*Parametre!$E$78</f>
        <v>195909.73089603518</v>
      </c>
      <c r="O8" s="130">
        <f>O5*Parametre!$E$78</f>
        <v>195797.18033966763</v>
      </c>
      <c r="P8" s="130">
        <f>P5*Parametre!$E$78</f>
        <v>195663.85161219252</v>
      </c>
      <c r="Q8" s="130">
        <f>Q5*Parametre!$E$78</f>
        <v>195401.30969410439</v>
      </c>
      <c r="R8" s="130">
        <f>R5*Parametre!$E$78</f>
        <v>195009.98951551827</v>
      </c>
      <c r="S8" s="130">
        <f>S5*Parametre!$E$78</f>
        <v>194490.58101895798</v>
      </c>
      <c r="T8" s="130">
        <f>T5*Parametre!$E$78</f>
        <v>193844.02716214821</v>
      </c>
      <c r="U8" s="130">
        <f>U5*Parametre!$E$78</f>
        <v>193071.52108614336</v>
      </c>
      <c r="V8" s="130">
        <f>V5*Parametre!$E$78</f>
        <v>192125.21741531786</v>
      </c>
      <c r="W8" s="130">
        <f>W5*Parametre!$E$78</f>
        <v>191007.54250685827</v>
      </c>
      <c r="X8" s="130">
        <f>X5*Parametre!$E$78</f>
        <v>189721.38403866399</v>
      </c>
      <c r="Y8" s="130">
        <f>Y5*Parametre!$E$78</f>
        <v>188270.07858967377</v>
      </c>
      <c r="Z8" s="130">
        <f>Z5*Parametre!$E$78</f>
        <v>186657.3972134405</v>
      </c>
      <c r="AA8" s="130">
        <f>AA5*Parametre!$E$78</f>
        <v>184812.85458127552</v>
      </c>
      <c r="AB8" s="130">
        <f>AB5*Parametre!$E$78</f>
        <v>182743.292089189</v>
      </c>
      <c r="AC8" s="130">
        <f>AC5*Parametre!$E$78</f>
        <v>180456.38103859342</v>
      </c>
      <c r="AD8" s="130">
        <f>AD5*Parametre!$E$78</f>
        <v>177960.57514152068</v>
      </c>
      <c r="AE8" s="130">
        <f>AE5*Parametre!$E$78</f>
        <v>175265.05828361303</v>
      </c>
      <c r="AF8" s="130">
        <f>AF5*Parametre!$E$78</f>
        <v>172281.00029019077</v>
      </c>
      <c r="AG8" s="130">
        <f>AG5*Parametre!$E$78</f>
        <v>169023.98699676816</v>
      </c>
    </row>
    <row r="10" spans="2:33">
      <c r="B10" s="12" t="s">
        <v>452</v>
      </c>
    </row>
    <row r="11" spans="2:33">
      <c r="B11" s="8" t="s">
        <v>184</v>
      </c>
      <c r="C11" s="130">
        <f>SUM(D11:AG11)</f>
        <v>7032172.9914910765</v>
      </c>
      <c r="D11" s="130">
        <f>D6*Parametre!E82</f>
        <v>0</v>
      </c>
      <c r="E11" s="130">
        <f>E6*Parametre!F82</f>
        <v>0</v>
      </c>
      <c r="F11" s="130">
        <f>F6*Parametre!G82</f>
        <v>0</v>
      </c>
      <c r="G11" s="130">
        <f>G6*Parametre!H82</f>
        <v>0</v>
      </c>
      <c r="H11" s="130">
        <f>H6*Parametre!I82</f>
        <v>127675.0932005955</v>
      </c>
      <c r="I11" s="130">
        <f>I6*Parametre!J82</f>
        <v>258411.06190600665</v>
      </c>
      <c r="J11" s="130">
        <f>J6*Parametre!K82</f>
        <v>261539.94578854492</v>
      </c>
      <c r="K11" s="130">
        <f>K6*Parametre!L82</f>
        <v>264612.57918392878</v>
      </c>
      <c r="L11" s="130">
        <f>L6*Parametre!M82</f>
        <v>266752.44586662191</v>
      </c>
      <c r="M11" s="130">
        <f>M6*Parametre!N82</f>
        <v>268950.64619997318</v>
      </c>
      <c r="N11" s="130">
        <f>N6*Parametre!O82</f>
        <v>271110.00249304681</v>
      </c>
      <c r="O11" s="130">
        <f>O6*Parametre!P82</f>
        <v>273236.22206459322</v>
      </c>
      <c r="P11" s="130">
        <f>P6*Parametre!Q82</f>
        <v>275330.57989628956</v>
      </c>
      <c r="Q11" s="130">
        <f>Q6*Parametre!R82</f>
        <v>277238.50015500613</v>
      </c>
      <c r="R11" s="130">
        <f>R6*Parametre!S82</f>
        <v>278956.0871420558</v>
      </c>
      <c r="S11" s="130">
        <f>S6*Parametre!T82</f>
        <v>280599.13554826437</v>
      </c>
      <c r="T11" s="130">
        <f>T6*Parametre!U82</f>
        <v>282044.44214594102</v>
      </c>
      <c r="U11" s="130">
        <f>U6*Parametre!V82</f>
        <v>283289.0780718454</v>
      </c>
      <c r="V11" s="130">
        <f>V6*Parametre!W82</f>
        <v>283904.06414266094</v>
      </c>
      <c r="W11" s="130">
        <f>W6*Parametre!X82</f>
        <v>284244.29128716746</v>
      </c>
      <c r="X11" s="130">
        <f>X6*Parametre!Y82</f>
        <v>284308.72570438823</v>
      </c>
      <c r="Y11" s="130">
        <f>Y6*Parametre!Z82</f>
        <v>284097.13142961042</v>
      </c>
      <c r="Z11" s="130">
        <f>Z6*Parametre!AA82</f>
        <v>283610.07182026759</v>
      </c>
      <c r="AA11" s="130">
        <f>AA6*Parametre!AB82</f>
        <v>282734.66691876104</v>
      </c>
      <c r="AB11" s="130">
        <f>AB6*Parametre!AC82</f>
        <v>281474.2008095007</v>
      </c>
      <c r="AC11" s="130">
        <f>AC6*Parametre!AD82</f>
        <v>279944.22352074063</v>
      </c>
      <c r="AD11" s="130">
        <f>AD6*Parametre!AE82</f>
        <v>278037.37731917953</v>
      </c>
      <c r="AE11" s="130">
        <f>AE6*Parametre!AF82</f>
        <v>275761.19263040082</v>
      </c>
      <c r="AF11" s="130">
        <f>AF6*Parametre!AG82</f>
        <v>273496.70237223379</v>
      </c>
      <c r="AG11" s="130">
        <f>AG6*Parametre!AH82</f>
        <v>270814.52387345245</v>
      </c>
    </row>
    <row r="12" spans="2:33">
      <c r="B12" s="8" t="s">
        <v>115</v>
      </c>
      <c r="C12" s="130">
        <f>SUM(D12:AG12)</f>
        <v>18742788.283520091</v>
      </c>
      <c r="D12" s="130">
        <f>D7*Parametre!E83</f>
        <v>0</v>
      </c>
      <c r="E12" s="130">
        <f>E7*Parametre!F83</f>
        <v>0</v>
      </c>
      <c r="F12" s="130">
        <f>F7*Parametre!G83</f>
        <v>0</v>
      </c>
      <c r="G12" s="130">
        <f>G7*Parametre!H83</f>
        <v>0</v>
      </c>
      <c r="H12" s="130">
        <f>H7*Parametre!I83</f>
        <v>352308.23732982954</v>
      </c>
      <c r="I12" s="130">
        <f>I7*Parametre!J83</f>
        <v>710493.3306608008</v>
      </c>
      <c r="J12" s="130">
        <f>J7*Parametre!K83</f>
        <v>716225.86296685482</v>
      </c>
      <c r="K12" s="130">
        <f>K7*Parametre!L83</f>
        <v>722521.01113663369</v>
      </c>
      <c r="L12" s="130">
        <f>L7*Parametre!M83</f>
        <v>726748.96233756642</v>
      </c>
      <c r="M12" s="130">
        <f>M7*Parametre!N83</f>
        <v>730808.95407225413</v>
      </c>
      <c r="N12" s="130">
        <f>N7*Parametre!O83</f>
        <v>734764.89542565495</v>
      </c>
      <c r="O12" s="130">
        <f>O7*Parametre!P83</f>
        <v>738632.99210362951</v>
      </c>
      <c r="P12" s="130">
        <f>P7*Parametre!Q83</f>
        <v>742417.31679340126</v>
      </c>
      <c r="Q12" s="130">
        <f>Q7*Parametre!R83</f>
        <v>745702.68715216557</v>
      </c>
      <c r="R12" s="130">
        <f>R7*Parametre!S83</f>
        <v>748482.2787316303</v>
      </c>
      <c r="S12" s="130">
        <f>S7*Parametre!T83</f>
        <v>750750.28957320808</v>
      </c>
      <c r="T12" s="130">
        <f>T7*Parametre!U83</f>
        <v>752501.96039345325</v>
      </c>
      <c r="U12" s="130">
        <f>U7*Parametre!V83</f>
        <v>753733.59124847851</v>
      </c>
      <c r="V12" s="130">
        <f>V7*Parametre!W83</f>
        <v>753547.4433243532</v>
      </c>
      <c r="W12" s="130">
        <f>W7*Parametre!X83</f>
        <v>752651.461075812</v>
      </c>
      <c r="X12" s="130">
        <f>X7*Parametre!Y83</f>
        <v>751047.6883918033</v>
      </c>
      <c r="Y12" s="130">
        <f>Y7*Parametre!Z83</f>
        <v>748740.16532872501</v>
      </c>
      <c r="Z12" s="130">
        <f>Z7*Parametre!AA83</f>
        <v>745734.91145770333</v>
      </c>
      <c r="AA12" s="130">
        <f>AA7*Parametre!AB83</f>
        <v>741740.19628123217</v>
      </c>
      <c r="AB12" s="130">
        <f>AB7*Parametre!AC83</f>
        <v>736770.90133259562</v>
      </c>
      <c r="AC12" s="130">
        <f>AC7*Parametre!AD83</f>
        <v>731504.78225287737</v>
      </c>
      <c r="AD12" s="130">
        <f>AD7*Parametre!AE83</f>
        <v>725287.08239132527</v>
      </c>
      <c r="AE12" s="130">
        <f>AE7*Parametre!AF83</f>
        <v>718141.700726373</v>
      </c>
      <c r="AF12" s="130">
        <f>AF7*Parametre!AG83</f>
        <v>710318.74219503708</v>
      </c>
      <c r="AG12" s="130">
        <f>AG7*Parametre!AH83</f>
        <v>701210.83883669239</v>
      </c>
    </row>
    <row r="13" spans="2:33">
      <c r="B13" s="8" t="s">
        <v>116</v>
      </c>
      <c r="C13" s="133">
        <f>SUM(D13:AG13)</f>
        <v>33679495.521868877</v>
      </c>
      <c r="D13" s="130">
        <f>D8*Parametre!E84</f>
        <v>0</v>
      </c>
      <c r="E13" s="130">
        <f>E8*Parametre!F84</f>
        <v>0</v>
      </c>
      <c r="F13" s="130">
        <f>F8*Parametre!G84</f>
        <v>0</v>
      </c>
      <c r="G13" s="130">
        <f>G8*Parametre!H84</f>
        <v>0</v>
      </c>
      <c r="H13" s="130">
        <f>H8*Parametre!I84</f>
        <v>630400.75512401294</v>
      </c>
      <c r="I13" s="130">
        <f>I8*Parametre!J84</f>
        <v>1270870.7726893565</v>
      </c>
      <c r="J13" s="130">
        <f>J8*Parametre!K84</f>
        <v>1282643.0147679937</v>
      </c>
      <c r="K13" s="130">
        <f>K8*Parametre!L84</f>
        <v>1294140.1256367492</v>
      </c>
      <c r="L13" s="130">
        <f>L8*Parametre!M84</f>
        <v>1301860.6796701546</v>
      </c>
      <c r="M13" s="130">
        <f>M8*Parametre!N84</f>
        <v>1309280.2985182505</v>
      </c>
      <c r="N13" s="130">
        <f>N8*Parametre!O84</f>
        <v>1316513.3916213564</v>
      </c>
      <c r="O13" s="130">
        <f>O8*Parametre!P84</f>
        <v>1323588.939096153</v>
      </c>
      <c r="P13" s="130">
        <f>P8*Parametre!Q84</f>
        <v>1330514.190962909</v>
      </c>
      <c r="Q13" s="130">
        <f>Q8*Parametre!R84</f>
        <v>1336544.9583076739</v>
      </c>
      <c r="R13" s="130">
        <f>R8*Parametre!S84</f>
        <v>1341668.7278667658</v>
      </c>
      <c r="S13" s="130">
        <f>S8*Parametre!T84</f>
        <v>1345874.8206511892</v>
      </c>
      <c r="T13" s="130">
        <f>T8*Parametre!U84</f>
        <v>1349154.4290485515</v>
      </c>
      <c r="U13" s="130">
        <f>U8*Parametre!V84</f>
        <v>1351500.6476030035</v>
      </c>
      <c r="V13" s="130">
        <f>V8*Parametre!W84</f>
        <v>1352561.5306038377</v>
      </c>
      <c r="W13" s="130">
        <f>W8*Parametre!X84</f>
        <v>1352333.4009485566</v>
      </c>
      <c r="X13" s="130">
        <f>X8*Parametre!Y84</f>
        <v>1350816.2543552876</v>
      </c>
      <c r="Y13" s="130">
        <f>Y8*Parametre!Z84</f>
        <v>1348013.7627020641</v>
      </c>
      <c r="Z13" s="130">
        <f>Z8*Parametre!AA84</f>
        <v>1343933.2599367716</v>
      </c>
      <c r="AA13" s="130">
        <f>AA8*Parametre!AB84</f>
        <v>1338045.0671684348</v>
      </c>
      <c r="AB13" s="130">
        <f>AB8*Parametre!AC84</f>
        <v>1330371.166409296</v>
      </c>
      <c r="AC13" s="130">
        <f>AC8*Parametre!AD84</f>
        <v>1320940.7092025038</v>
      </c>
      <c r="AD13" s="130">
        <f>AD8*Parametre!AE84</f>
        <v>1309789.8330415923</v>
      </c>
      <c r="AE13" s="130">
        <f>AE8*Parametre!AF84</f>
        <v>1296961.4312987365</v>
      </c>
      <c r="AF13" s="130">
        <f>AF8*Parametre!AG84</f>
        <v>1283493.4521619212</v>
      </c>
      <c r="AG13" s="130">
        <f>AG8*Parametre!AH84</f>
        <v>1267679.9024757612</v>
      </c>
    </row>
    <row r="14" spans="2:33">
      <c r="B14" s="177" t="s">
        <v>453</v>
      </c>
      <c r="C14" s="178">
        <f>SUM(D14:AG14)</f>
        <v>59454456.796880066</v>
      </c>
      <c r="D14" s="179">
        <f>SUM(D11:D13)</f>
        <v>0</v>
      </c>
      <c r="E14" s="178">
        <f t="shared" ref="E14:AF14" si="2">SUM(E11:E13)</f>
        <v>0</v>
      </c>
      <c r="F14" s="178">
        <f t="shared" si="2"/>
        <v>0</v>
      </c>
      <c r="G14" s="178">
        <f t="shared" si="2"/>
        <v>0</v>
      </c>
      <c r="H14" s="178">
        <f t="shared" si="2"/>
        <v>1110384.085654438</v>
      </c>
      <c r="I14" s="178">
        <f t="shared" si="2"/>
        <v>2239775.165256164</v>
      </c>
      <c r="J14" s="178">
        <f t="shared" si="2"/>
        <v>2260408.8235233934</v>
      </c>
      <c r="K14" s="178">
        <f t="shared" si="2"/>
        <v>2281273.7159573119</v>
      </c>
      <c r="L14" s="178">
        <f t="shared" si="2"/>
        <v>2295362.0878743427</v>
      </c>
      <c r="M14" s="178">
        <f t="shared" si="2"/>
        <v>2309039.8987904778</v>
      </c>
      <c r="N14" s="178">
        <f t="shared" si="2"/>
        <v>2322388.289540058</v>
      </c>
      <c r="O14" s="178">
        <f t="shared" si="2"/>
        <v>2335458.1532643759</v>
      </c>
      <c r="P14" s="178">
        <f t="shared" si="2"/>
        <v>2348262.0876525999</v>
      </c>
      <c r="Q14" s="178">
        <f t="shared" si="2"/>
        <v>2359486.1456148457</v>
      </c>
      <c r="R14" s="178">
        <f t="shared" si="2"/>
        <v>2369107.0937404521</v>
      </c>
      <c r="S14" s="178">
        <f t="shared" si="2"/>
        <v>2377224.2457726616</v>
      </c>
      <c r="T14" s="178">
        <f t="shared" si="2"/>
        <v>2383700.831587946</v>
      </c>
      <c r="U14" s="178">
        <f t="shared" si="2"/>
        <v>2388523.3169233277</v>
      </c>
      <c r="V14" s="178">
        <f t="shared" si="2"/>
        <v>2390013.0380708519</v>
      </c>
      <c r="W14" s="178">
        <f t="shared" si="2"/>
        <v>2389229.1533115362</v>
      </c>
      <c r="X14" s="178">
        <f t="shared" si="2"/>
        <v>2386172.6684514792</v>
      </c>
      <c r="Y14" s="178">
        <f t="shared" si="2"/>
        <v>2380851.0594603997</v>
      </c>
      <c r="Z14" s="178">
        <f t="shared" si="2"/>
        <v>2373278.2432147423</v>
      </c>
      <c r="AA14" s="178">
        <f t="shared" si="2"/>
        <v>2362519.9303684281</v>
      </c>
      <c r="AB14" s="178">
        <f t="shared" si="2"/>
        <v>2348616.2685513925</v>
      </c>
      <c r="AC14" s="178">
        <f t="shared" si="2"/>
        <v>2332389.7149761217</v>
      </c>
      <c r="AD14" s="178">
        <f t="shared" si="2"/>
        <v>2313114.2927520974</v>
      </c>
      <c r="AE14" s="178">
        <f t="shared" si="2"/>
        <v>2290864.3246555105</v>
      </c>
      <c r="AF14" s="178">
        <f t="shared" si="2"/>
        <v>2267308.8967291918</v>
      </c>
      <c r="AG14" s="178">
        <f t="shared" ref="AG14" si="3">SUM(AG11:AG13)</f>
        <v>2239705.2651859061</v>
      </c>
    </row>
    <row r="16" spans="2:33">
      <c r="B16" s="1" t="s">
        <v>2</v>
      </c>
    </row>
    <row r="17" spans="2:2">
      <c r="B17" s="1" t="s">
        <v>355</v>
      </c>
    </row>
    <row r="18" spans="2:2">
      <c r="B18" s="1" t="s">
        <v>356</v>
      </c>
    </row>
    <row r="19" spans="2:2">
      <c r="B19" s="12"/>
    </row>
  </sheetData>
  <sheetProtection algorithmName="SHA-512" hashValue="/eHaPZfhF21KTe7opRyCzmdiyb8CaxwBxoaYC9HgOW7GczrD/86W1y6hKMl/5UqBdOjmg4FeUZ9cfJBWUb/+ZQ==" saltValue="TTdFCUbagoajv+iXIqJQQQ==" spinCount="100000" sheet="1" objects="1" scenarios="1"/>
  <phoneticPr fontId="7" type="noConversion"/>
  <pageMargins left="0.2421875" right="0.2421875" top="1" bottom="1" header="0.5" footer="0.5"/>
  <pageSetup paperSize="9" scale="75" orientation="landscape" r:id="rId1"/>
  <headerFooter alignWithMargins="0">
    <oddHeader>&amp;LPríloha 7: Štandardné tabuľky - Cesty
&amp;"Arial,Tučné"&amp;12 07 Ocenenie času</oddHeader>
    <oddFooter>Strana &amp;P z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B157-1136-D846-BA5D-2BC35440506F}">
  <dimension ref="B1:AJ67"/>
  <sheetViews>
    <sheetView topLeftCell="F1" zoomScale="80" zoomScaleNormal="80" workbookViewId="0">
      <pane ySplit="7" topLeftCell="A8" activePane="bottomLeft" state="frozen"/>
      <selection pane="bottomLeft" activeCell="R18" sqref="R18"/>
    </sheetView>
  </sheetViews>
  <sheetFormatPr defaultColWidth="10.85546875" defaultRowHeight="15.75"/>
  <cols>
    <col min="1" max="1" width="1.42578125" style="396" customWidth="1"/>
    <col min="2" max="2" width="145.85546875" style="396" customWidth="1"/>
    <col min="3" max="3" width="16.85546875" style="396" customWidth="1"/>
    <col min="4" max="4" width="51.7109375" style="396" customWidth="1"/>
    <col min="5" max="5" width="24.42578125" style="396" customWidth="1"/>
    <col min="6" max="6" width="34.7109375" style="396" customWidth="1"/>
    <col min="7" max="16384" width="10.85546875" style="396"/>
  </cols>
  <sheetData>
    <row r="1" spans="2:36">
      <c r="B1" s="926" t="s">
        <v>454</v>
      </c>
      <c r="C1" s="926"/>
      <c r="D1" s="926"/>
      <c r="E1" s="926"/>
      <c r="F1" s="926"/>
      <c r="G1" s="844">
        <v>1</v>
      </c>
      <c r="H1" s="844">
        <v>2</v>
      </c>
      <c r="I1" s="844">
        <v>3</v>
      </c>
      <c r="J1" s="844">
        <v>4</v>
      </c>
      <c r="K1" s="844">
        <v>5</v>
      </c>
      <c r="L1" s="844">
        <v>6</v>
      </c>
      <c r="M1" s="844">
        <v>7</v>
      </c>
      <c r="N1" s="844">
        <v>8</v>
      </c>
      <c r="O1" s="844">
        <v>9</v>
      </c>
      <c r="P1" s="844">
        <v>10</v>
      </c>
      <c r="Q1" s="844">
        <v>11</v>
      </c>
      <c r="R1" s="844">
        <v>12</v>
      </c>
      <c r="S1" s="844">
        <v>13</v>
      </c>
      <c r="T1" s="844">
        <v>14</v>
      </c>
      <c r="U1" s="844">
        <v>15</v>
      </c>
      <c r="V1" s="844">
        <v>16</v>
      </c>
      <c r="W1" s="844">
        <v>17</v>
      </c>
      <c r="X1" s="844">
        <v>18</v>
      </c>
      <c r="Y1" s="844">
        <v>19</v>
      </c>
      <c r="Z1" s="844">
        <v>20</v>
      </c>
      <c r="AA1" s="844">
        <v>21</v>
      </c>
      <c r="AB1" s="844">
        <v>22</v>
      </c>
      <c r="AC1" s="844">
        <v>23</v>
      </c>
      <c r="AD1" s="844">
        <v>24</v>
      </c>
      <c r="AE1" s="844">
        <v>25</v>
      </c>
      <c r="AF1" s="844">
        <v>26</v>
      </c>
      <c r="AG1" s="844">
        <v>27</v>
      </c>
      <c r="AH1" s="844">
        <v>28</v>
      </c>
      <c r="AI1" s="844">
        <v>29</v>
      </c>
      <c r="AJ1" s="844">
        <v>30</v>
      </c>
    </row>
    <row r="2" spans="2:36" ht="16.5" thickBot="1">
      <c r="B2" s="334"/>
      <c r="C2" s="334"/>
      <c r="D2" s="334"/>
      <c r="E2" s="334"/>
      <c r="F2" s="334"/>
      <c r="G2" s="843">
        <v>2023</v>
      </c>
      <c r="H2" s="843">
        <f>G2+$G$1</f>
        <v>2024</v>
      </c>
      <c r="I2" s="843">
        <f t="shared" ref="I2:AJ2" si="0">H2+$G$1</f>
        <v>2025</v>
      </c>
      <c r="J2" s="843">
        <f t="shared" si="0"/>
        <v>2026</v>
      </c>
      <c r="K2" s="843">
        <f t="shared" si="0"/>
        <v>2027</v>
      </c>
      <c r="L2" s="843">
        <f t="shared" si="0"/>
        <v>2028</v>
      </c>
      <c r="M2" s="843">
        <f t="shared" si="0"/>
        <v>2029</v>
      </c>
      <c r="N2" s="843">
        <f t="shared" si="0"/>
        <v>2030</v>
      </c>
      <c r="O2" s="843">
        <f t="shared" si="0"/>
        <v>2031</v>
      </c>
      <c r="P2" s="843">
        <f t="shared" si="0"/>
        <v>2032</v>
      </c>
      <c r="Q2" s="843">
        <f t="shared" si="0"/>
        <v>2033</v>
      </c>
      <c r="R2" s="843">
        <f t="shared" si="0"/>
        <v>2034</v>
      </c>
      <c r="S2" s="843">
        <f t="shared" si="0"/>
        <v>2035</v>
      </c>
      <c r="T2" s="843">
        <f t="shared" si="0"/>
        <v>2036</v>
      </c>
      <c r="U2" s="843">
        <f t="shared" si="0"/>
        <v>2037</v>
      </c>
      <c r="V2" s="843">
        <f t="shared" si="0"/>
        <v>2038</v>
      </c>
      <c r="W2" s="843">
        <f t="shared" si="0"/>
        <v>2039</v>
      </c>
      <c r="X2" s="843">
        <f t="shared" si="0"/>
        <v>2040</v>
      </c>
      <c r="Y2" s="843">
        <f t="shared" si="0"/>
        <v>2041</v>
      </c>
      <c r="Z2" s="843">
        <f t="shared" si="0"/>
        <v>2042</v>
      </c>
      <c r="AA2" s="843">
        <f t="shared" si="0"/>
        <v>2043</v>
      </c>
      <c r="AB2" s="843">
        <f t="shared" si="0"/>
        <v>2044</v>
      </c>
      <c r="AC2" s="843">
        <f t="shared" si="0"/>
        <v>2045</v>
      </c>
      <c r="AD2" s="843">
        <f t="shared" si="0"/>
        <v>2046</v>
      </c>
      <c r="AE2" s="843">
        <f t="shared" si="0"/>
        <v>2047</v>
      </c>
      <c r="AF2" s="843">
        <f t="shared" si="0"/>
        <v>2048</v>
      </c>
      <c r="AG2" s="843">
        <f t="shared" si="0"/>
        <v>2049</v>
      </c>
      <c r="AH2" s="843">
        <f t="shared" si="0"/>
        <v>2050</v>
      </c>
      <c r="AI2" s="843">
        <f t="shared" si="0"/>
        <v>2051</v>
      </c>
      <c r="AJ2" s="843">
        <f t="shared" si="0"/>
        <v>2052</v>
      </c>
    </row>
    <row r="3" spans="2:36" ht="28.5">
      <c r="B3" s="335" t="s">
        <v>455</v>
      </c>
      <c r="C3" s="336"/>
      <c r="D3" s="336"/>
      <c r="E3" s="336"/>
      <c r="F3" s="336"/>
      <c r="G3" s="336"/>
      <c r="H3" s="336"/>
      <c r="I3" s="336"/>
      <c r="J3" s="336"/>
      <c r="K3" s="336"/>
      <c r="L3" s="336"/>
      <c r="M3" s="336"/>
      <c r="N3" s="336"/>
      <c r="O3" s="336"/>
      <c r="P3" s="336"/>
      <c r="Q3" s="336"/>
      <c r="R3" s="336"/>
      <c r="S3" s="336"/>
      <c r="T3" s="336"/>
      <c r="U3" s="336"/>
      <c r="V3" s="336"/>
      <c r="W3" s="336"/>
      <c r="X3" s="336"/>
      <c r="Y3" s="336"/>
      <c r="Z3" s="336"/>
      <c r="AA3" s="336"/>
      <c r="AB3" s="336"/>
      <c r="AC3" s="336"/>
      <c r="AD3" s="336"/>
      <c r="AE3" s="336"/>
      <c r="AF3" s="336"/>
      <c r="AG3" s="336"/>
      <c r="AH3" s="337"/>
      <c r="AI3" s="337"/>
      <c r="AJ3" s="337"/>
    </row>
    <row r="4" spans="2:36">
      <c r="B4" s="378" t="s">
        <v>514</v>
      </c>
      <c r="C4" s="927" t="s">
        <v>457</v>
      </c>
      <c r="D4" s="928"/>
      <c r="E4" s="928"/>
      <c r="F4" s="948"/>
      <c r="G4" s="339">
        <f>SUM(G14:G16)</f>
        <v>0</v>
      </c>
      <c r="H4" s="339">
        <f t="shared" ref="H4:AJ4" si="1">SUM(H14:H16)</f>
        <v>0</v>
      </c>
      <c r="I4" s="339">
        <f t="shared" si="1"/>
        <v>0</v>
      </c>
      <c r="J4" s="339">
        <f t="shared" si="1"/>
        <v>0</v>
      </c>
      <c r="K4" s="339">
        <f t="shared" si="1"/>
        <v>791.62416666666672</v>
      </c>
      <c r="L4" s="339">
        <f t="shared" si="1"/>
        <v>1583.2483333333334</v>
      </c>
      <c r="M4" s="339">
        <f t="shared" si="1"/>
        <v>1583.2483333333334</v>
      </c>
      <c r="N4" s="339">
        <f t="shared" si="1"/>
        <v>1583.2483333333334</v>
      </c>
      <c r="O4" s="339">
        <f t="shared" si="1"/>
        <v>1583.2483333333334</v>
      </c>
      <c r="P4" s="339">
        <f t="shared" si="1"/>
        <v>1583.2483333333334</v>
      </c>
      <c r="Q4" s="339">
        <f t="shared" si="1"/>
        <v>1583.2483333333334</v>
      </c>
      <c r="R4" s="339">
        <f t="shared" si="1"/>
        <v>1583.2483333333334</v>
      </c>
      <c r="S4" s="339">
        <f t="shared" si="1"/>
        <v>1583.2483333333334</v>
      </c>
      <c r="T4" s="339">
        <f t="shared" si="1"/>
        <v>1583.2483333333334</v>
      </c>
      <c r="U4" s="339">
        <f t="shared" si="1"/>
        <v>1583.2483333333334</v>
      </c>
      <c r="V4" s="339">
        <f t="shared" si="1"/>
        <v>1583.2483333333334</v>
      </c>
      <c r="W4" s="339">
        <f t="shared" si="1"/>
        <v>1583.2483333333334</v>
      </c>
      <c r="X4" s="339">
        <f t="shared" si="1"/>
        <v>1583.2483333333334</v>
      </c>
      <c r="Y4" s="339">
        <f t="shared" si="1"/>
        <v>1583.2483333333334</v>
      </c>
      <c r="Z4" s="339">
        <f t="shared" si="1"/>
        <v>1583.2483333333334</v>
      </c>
      <c r="AA4" s="339">
        <f t="shared" si="1"/>
        <v>1583.2483333333334</v>
      </c>
      <c r="AB4" s="339">
        <f t="shared" si="1"/>
        <v>1583.2483333333334</v>
      </c>
      <c r="AC4" s="339">
        <f t="shared" si="1"/>
        <v>1583.2483333333334</v>
      </c>
      <c r="AD4" s="339">
        <f t="shared" si="1"/>
        <v>1583.2483333333334</v>
      </c>
      <c r="AE4" s="339">
        <f t="shared" si="1"/>
        <v>1583.2483333333334</v>
      </c>
      <c r="AF4" s="339">
        <f t="shared" si="1"/>
        <v>1583.2483333333334</v>
      </c>
      <c r="AG4" s="339">
        <f t="shared" si="1"/>
        <v>1583.2483333333334</v>
      </c>
      <c r="AH4" s="339">
        <f t="shared" si="1"/>
        <v>1583.2483333333334</v>
      </c>
      <c r="AI4" s="339">
        <f t="shared" si="1"/>
        <v>1583.2483333333334</v>
      </c>
      <c r="AJ4" s="339">
        <f t="shared" si="1"/>
        <v>1583.2483333333334</v>
      </c>
    </row>
    <row r="5" spans="2:36" ht="6.95" customHeight="1">
      <c r="B5" s="379"/>
      <c r="C5" s="346"/>
      <c r="D5" s="344"/>
      <c r="E5" s="949"/>
      <c r="F5" s="949"/>
      <c r="G5" s="346"/>
      <c r="H5" s="346"/>
      <c r="I5" s="346"/>
      <c r="J5" s="346"/>
      <c r="K5" s="346"/>
      <c r="L5" s="346"/>
      <c r="M5" s="346"/>
      <c r="N5" s="346"/>
      <c r="O5" s="346"/>
      <c r="P5" s="346"/>
      <c r="Q5" s="346"/>
      <c r="R5" s="346"/>
      <c r="S5" s="346"/>
      <c r="T5" s="346"/>
      <c r="U5" s="346"/>
      <c r="V5" s="346"/>
      <c r="W5" s="346"/>
      <c r="X5" s="346"/>
      <c r="Y5" s="346"/>
      <c r="Z5" s="346"/>
      <c r="AA5" s="346"/>
      <c r="AB5" s="346"/>
      <c r="AC5" s="346"/>
      <c r="AD5" s="346"/>
      <c r="AE5" s="346"/>
      <c r="AF5" s="346"/>
      <c r="AG5" s="346"/>
      <c r="AH5" s="346"/>
      <c r="AI5" s="346"/>
      <c r="AJ5" s="346"/>
    </row>
    <row r="6" spans="2:36" ht="17.100000000000001" customHeight="1">
      <c r="B6" s="338" t="s">
        <v>515</v>
      </c>
      <c r="C6" s="927" t="s">
        <v>457</v>
      </c>
      <c r="D6" s="928"/>
      <c r="E6" s="928"/>
      <c r="F6" s="948"/>
      <c r="G6" s="380">
        <f>SUM(G31:G33)</f>
        <v>3163.3333333333335</v>
      </c>
      <c r="H6" s="380">
        <f t="shared" ref="H6:AJ6" si="2">SUM(H31:H33)</f>
        <v>3163.3333333333335</v>
      </c>
      <c r="I6" s="380">
        <f t="shared" si="2"/>
        <v>3163.3333333333335</v>
      </c>
      <c r="J6" s="380">
        <f t="shared" si="2"/>
        <v>3163.3333333333335</v>
      </c>
      <c r="K6" s="380">
        <f>SUM(K31:K33)</f>
        <v>1580.085</v>
      </c>
      <c r="L6" s="380">
        <f t="shared" si="2"/>
        <v>1580.085</v>
      </c>
      <c r="M6" s="380">
        <f t="shared" si="2"/>
        <v>1580.085</v>
      </c>
      <c r="N6" s="380">
        <f t="shared" si="2"/>
        <v>1580.085</v>
      </c>
      <c r="O6" s="380">
        <f t="shared" si="2"/>
        <v>1580.085</v>
      </c>
      <c r="P6" s="380">
        <f t="shared" si="2"/>
        <v>1580.085</v>
      </c>
      <c r="Q6" s="380">
        <f t="shared" si="2"/>
        <v>1580.085</v>
      </c>
      <c r="R6" s="380">
        <f t="shared" si="2"/>
        <v>1580.085</v>
      </c>
      <c r="S6" s="380">
        <f t="shared" si="2"/>
        <v>1580.085</v>
      </c>
      <c r="T6" s="380">
        <f t="shared" si="2"/>
        <v>1580.085</v>
      </c>
      <c r="U6" s="380">
        <f t="shared" si="2"/>
        <v>1580.085</v>
      </c>
      <c r="V6" s="380">
        <f t="shared" si="2"/>
        <v>1580.085</v>
      </c>
      <c r="W6" s="380">
        <f t="shared" si="2"/>
        <v>1580.085</v>
      </c>
      <c r="X6" s="380">
        <f t="shared" si="2"/>
        <v>1580.085</v>
      </c>
      <c r="Y6" s="380">
        <f t="shared" si="2"/>
        <v>1580.085</v>
      </c>
      <c r="Z6" s="380">
        <f t="shared" si="2"/>
        <v>1580.085</v>
      </c>
      <c r="AA6" s="380">
        <f t="shared" si="2"/>
        <v>1580.085</v>
      </c>
      <c r="AB6" s="380">
        <f t="shared" si="2"/>
        <v>1580.085</v>
      </c>
      <c r="AC6" s="380">
        <f t="shared" si="2"/>
        <v>1580.085</v>
      </c>
      <c r="AD6" s="380">
        <f t="shared" si="2"/>
        <v>1580.085</v>
      </c>
      <c r="AE6" s="380">
        <f t="shared" si="2"/>
        <v>1580.085</v>
      </c>
      <c r="AF6" s="380">
        <f t="shared" si="2"/>
        <v>1580.085</v>
      </c>
      <c r="AG6" s="380">
        <f t="shared" si="2"/>
        <v>1580.085</v>
      </c>
      <c r="AH6" s="380">
        <f t="shared" si="2"/>
        <v>1580.085</v>
      </c>
      <c r="AI6" s="380">
        <f t="shared" si="2"/>
        <v>1580.085</v>
      </c>
      <c r="AJ6" s="380">
        <f t="shared" si="2"/>
        <v>1580.085</v>
      </c>
    </row>
    <row r="7" spans="2:36" ht="16.5" thickBot="1">
      <c r="B7" s="381" t="s">
        <v>516</v>
      </c>
      <c r="C7" s="930" t="s">
        <v>457</v>
      </c>
      <c r="D7" s="931"/>
      <c r="E7" s="931"/>
      <c r="F7" s="950"/>
      <c r="G7" s="348">
        <f>SUM(G40:G42)</f>
        <v>3163.3333333333335</v>
      </c>
      <c r="H7" s="348">
        <f t="shared" ref="H7:AJ7" si="3">SUM(H40:H42)</f>
        <v>3163.3333333333335</v>
      </c>
      <c r="I7" s="348">
        <f t="shared" si="3"/>
        <v>3163.3333333333335</v>
      </c>
      <c r="J7" s="348">
        <f t="shared" si="3"/>
        <v>3163.3333333333335</v>
      </c>
      <c r="K7" s="348">
        <f t="shared" si="3"/>
        <v>3163.3333333333335</v>
      </c>
      <c r="L7" s="348">
        <f t="shared" si="3"/>
        <v>3163.3333333333335</v>
      </c>
      <c r="M7" s="348">
        <f t="shared" si="3"/>
        <v>3163.3333333333335</v>
      </c>
      <c r="N7" s="348">
        <f t="shared" si="3"/>
        <v>3163.3333333333335</v>
      </c>
      <c r="O7" s="348">
        <f t="shared" si="3"/>
        <v>3163.3333333333335</v>
      </c>
      <c r="P7" s="348">
        <f t="shared" si="3"/>
        <v>3163.3333333333335</v>
      </c>
      <c r="Q7" s="348">
        <f t="shared" si="3"/>
        <v>3163.3333333333335</v>
      </c>
      <c r="R7" s="348">
        <f t="shared" si="3"/>
        <v>3163.3333333333335</v>
      </c>
      <c r="S7" s="348">
        <f t="shared" si="3"/>
        <v>3163.3333333333335</v>
      </c>
      <c r="T7" s="348">
        <f t="shared" si="3"/>
        <v>3163.3333333333335</v>
      </c>
      <c r="U7" s="348">
        <f t="shared" si="3"/>
        <v>3163.3333333333335</v>
      </c>
      <c r="V7" s="348">
        <f t="shared" si="3"/>
        <v>3163.3333333333335</v>
      </c>
      <c r="W7" s="348">
        <f t="shared" si="3"/>
        <v>3163.3333333333335</v>
      </c>
      <c r="X7" s="348">
        <f t="shared" si="3"/>
        <v>3163.3333333333335</v>
      </c>
      <c r="Y7" s="348">
        <f t="shared" si="3"/>
        <v>3163.3333333333335</v>
      </c>
      <c r="Z7" s="348">
        <f t="shared" si="3"/>
        <v>3163.3333333333335</v>
      </c>
      <c r="AA7" s="348">
        <f t="shared" si="3"/>
        <v>3163.3333333333335</v>
      </c>
      <c r="AB7" s="348">
        <f t="shared" si="3"/>
        <v>3163.3333333333335</v>
      </c>
      <c r="AC7" s="348">
        <f t="shared" si="3"/>
        <v>3163.3333333333335</v>
      </c>
      <c r="AD7" s="348">
        <f t="shared" si="3"/>
        <v>3163.3333333333335</v>
      </c>
      <c r="AE7" s="348">
        <f t="shared" si="3"/>
        <v>3163.3333333333335</v>
      </c>
      <c r="AF7" s="348">
        <f t="shared" si="3"/>
        <v>3163.3333333333335</v>
      </c>
      <c r="AG7" s="348">
        <f t="shared" si="3"/>
        <v>3163.3333333333335</v>
      </c>
      <c r="AH7" s="348">
        <f t="shared" si="3"/>
        <v>3163.3333333333335</v>
      </c>
      <c r="AI7" s="348">
        <f t="shared" si="3"/>
        <v>3163.3333333333335</v>
      </c>
      <c r="AJ7" s="348">
        <f t="shared" si="3"/>
        <v>3163.3333333333335</v>
      </c>
    </row>
    <row r="9" spans="2:36" ht="32.1" customHeight="1"/>
    <row r="11" spans="2:36">
      <c r="C11" s="397" t="s">
        <v>474</v>
      </c>
      <c r="D11" s="370" t="s">
        <v>513</v>
      </c>
    </row>
    <row r="12" spans="2:36">
      <c r="B12" s="370" t="s">
        <v>514</v>
      </c>
    </row>
    <row r="14" spans="2:36">
      <c r="B14" s="398" t="str">
        <f>$B$40</f>
        <v xml:space="preserve">Košice – Poprad – Žilina – Trenčín – Trnava – Bratislava </v>
      </c>
      <c r="C14" s="382">
        <f>C31</f>
        <v>9490</v>
      </c>
      <c r="D14" s="383">
        <f>D40-D31</f>
        <v>0.16683333333333336</v>
      </c>
      <c r="G14" s="399">
        <f>(G40-G31)*G22</f>
        <v>0</v>
      </c>
      <c r="H14" s="399">
        <f t="shared" ref="H14:AJ16" si="4">(H40-H31)*H22</f>
        <v>0</v>
      </c>
      <c r="I14" s="399">
        <f t="shared" si="4"/>
        <v>0</v>
      </c>
      <c r="J14" s="399">
        <f t="shared" si="4"/>
        <v>0</v>
      </c>
      <c r="K14" s="399">
        <f t="shared" si="4"/>
        <v>791.62416666666672</v>
      </c>
      <c r="L14" s="399">
        <f t="shared" si="4"/>
        <v>1583.2483333333334</v>
      </c>
      <c r="M14" s="399">
        <f t="shared" si="4"/>
        <v>1583.2483333333334</v>
      </c>
      <c r="N14" s="399">
        <f t="shared" si="4"/>
        <v>1583.2483333333334</v>
      </c>
      <c r="O14" s="399">
        <f t="shared" si="4"/>
        <v>1583.2483333333334</v>
      </c>
      <c r="P14" s="399">
        <f t="shared" si="4"/>
        <v>1583.2483333333334</v>
      </c>
      <c r="Q14" s="399">
        <f t="shared" si="4"/>
        <v>1583.2483333333334</v>
      </c>
      <c r="R14" s="399">
        <f t="shared" si="4"/>
        <v>1583.2483333333334</v>
      </c>
      <c r="S14" s="399">
        <f t="shared" si="4"/>
        <v>1583.2483333333334</v>
      </c>
      <c r="T14" s="399">
        <f t="shared" si="4"/>
        <v>1583.2483333333334</v>
      </c>
      <c r="U14" s="399">
        <f t="shared" si="4"/>
        <v>1583.2483333333334</v>
      </c>
      <c r="V14" s="399">
        <f t="shared" si="4"/>
        <v>1583.2483333333334</v>
      </c>
      <c r="W14" s="399">
        <f t="shared" si="4"/>
        <v>1583.2483333333334</v>
      </c>
      <c r="X14" s="399">
        <f t="shared" si="4"/>
        <v>1583.2483333333334</v>
      </c>
      <c r="Y14" s="399">
        <f t="shared" si="4"/>
        <v>1583.2483333333334</v>
      </c>
      <c r="Z14" s="399">
        <f t="shared" si="4"/>
        <v>1583.2483333333334</v>
      </c>
      <c r="AA14" s="399">
        <f t="shared" si="4"/>
        <v>1583.2483333333334</v>
      </c>
      <c r="AB14" s="399">
        <f t="shared" si="4"/>
        <v>1583.2483333333334</v>
      </c>
      <c r="AC14" s="399">
        <f t="shared" si="4"/>
        <v>1583.2483333333334</v>
      </c>
      <c r="AD14" s="399">
        <f t="shared" si="4"/>
        <v>1583.2483333333334</v>
      </c>
      <c r="AE14" s="399">
        <f t="shared" si="4"/>
        <v>1583.2483333333334</v>
      </c>
      <c r="AF14" s="399">
        <f t="shared" si="4"/>
        <v>1583.2483333333334</v>
      </c>
      <c r="AG14" s="399">
        <f t="shared" si="4"/>
        <v>1583.2483333333334</v>
      </c>
      <c r="AH14" s="399">
        <f t="shared" si="4"/>
        <v>1583.2483333333334</v>
      </c>
      <c r="AI14" s="399">
        <f t="shared" si="4"/>
        <v>1583.2483333333334</v>
      </c>
      <c r="AJ14" s="399">
        <f t="shared" si="4"/>
        <v>1583.2483333333334</v>
      </c>
    </row>
    <row r="15" spans="2:36">
      <c r="B15" s="398" t="str">
        <f>$B$41</f>
        <v xml:space="preserve">Budapešť – Bratislava – Brno – Praha </v>
      </c>
      <c r="C15" s="382">
        <f t="shared" ref="C15:C16" si="5">C32</f>
        <v>0</v>
      </c>
      <c r="D15" s="383">
        <f t="shared" ref="D15:D16" si="6">D41-D32</f>
        <v>0</v>
      </c>
      <c r="G15" s="399">
        <f t="shared" ref="G15:V16" si="7">(G41-G32)*G23</f>
        <v>0</v>
      </c>
      <c r="H15" s="399">
        <f t="shared" si="7"/>
        <v>0</v>
      </c>
      <c r="I15" s="399">
        <f t="shared" si="7"/>
        <v>0</v>
      </c>
      <c r="J15" s="399">
        <f t="shared" si="7"/>
        <v>0</v>
      </c>
      <c r="K15" s="399">
        <f t="shared" si="7"/>
        <v>0</v>
      </c>
      <c r="L15" s="399">
        <f t="shared" si="7"/>
        <v>0</v>
      </c>
      <c r="M15" s="399">
        <f t="shared" si="7"/>
        <v>0</v>
      </c>
      <c r="N15" s="399">
        <f t="shared" si="7"/>
        <v>0</v>
      </c>
      <c r="O15" s="399">
        <f t="shared" si="7"/>
        <v>0</v>
      </c>
      <c r="P15" s="399">
        <f t="shared" si="7"/>
        <v>0</v>
      </c>
      <c r="Q15" s="399">
        <f t="shared" si="7"/>
        <v>0</v>
      </c>
      <c r="R15" s="399">
        <f t="shared" si="7"/>
        <v>0</v>
      </c>
      <c r="S15" s="399">
        <f t="shared" si="7"/>
        <v>0</v>
      </c>
      <c r="T15" s="399">
        <f t="shared" si="7"/>
        <v>0</v>
      </c>
      <c r="U15" s="399">
        <f t="shared" si="7"/>
        <v>0</v>
      </c>
      <c r="V15" s="399">
        <f t="shared" si="7"/>
        <v>0</v>
      </c>
      <c r="W15" s="399">
        <f t="shared" si="4"/>
        <v>0</v>
      </c>
      <c r="X15" s="399">
        <f t="shared" si="4"/>
        <v>0</v>
      </c>
      <c r="Y15" s="399">
        <f t="shared" si="4"/>
        <v>0</v>
      </c>
      <c r="Z15" s="399">
        <f t="shared" si="4"/>
        <v>0</v>
      </c>
      <c r="AA15" s="399">
        <f t="shared" si="4"/>
        <v>0</v>
      </c>
      <c r="AB15" s="399">
        <f t="shared" si="4"/>
        <v>0</v>
      </c>
      <c r="AC15" s="399">
        <f t="shared" si="4"/>
        <v>0</v>
      </c>
      <c r="AD15" s="399">
        <f t="shared" si="4"/>
        <v>0</v>
      </c>
      <c r="AE15" s="399">
        <f t="shared" si="4"/>
        <v>0</v>
      </c>
      <c r="AF15" s="399">
        <f t="shared" si="4"/>
        <v>0</v>
      </c>
      <c r="AG15" s="399">
        <f t="shared" si="4"/>
        <v>0</v>
      </c>
      <c r="AH15" s="399">
        <f t="shared" si="4"/>
        <v>0</v>
      </c>
      <c r="AI15" s="399">
        <f t="shared" si="4"/>
        <v>0</v>
      </c>
      <c r="AJ15" s="399">
        <f t="shared" si="4"/>
        <v>0</v>
      </c>
    </row>
    <row r="16" spans="2:36">
      <c r="B16" s="398" t="str">
        <f>$B$42</f>
        <v xml:space="preserve"> Bratislava – Viedeň – Salzburg – Innsbruck / Zürich / Mníchov / </v>
      </c>
      <c r="C16" s="382">
        <f t="shared" si="5"/>
        <v>0</v>
      </c>
      <c r="D16" s="383">
        <f t="shared" si="6"/>
        <v>0</v>
      </c>
      <c r="G16" s="399">
        <f t="shared" si="7"/>
        <v>0</v>
      </c>
      <c r="H16" s="399">
        <f t="shared" si="4"/>
        <v>0</v>
      </c>
      <c r="I16" s="399">
        <f t="shared" si="4"/>
        <v>0</v>
      </c>
      <c r="J16" s="399">
        <f t="shared" si="4"/>
        <v>0</v>
      </c>
      <c r="K16" s="399">
        <f t="shared" si="4"/>
        <v>0</v>
      </c>
      <c r="L16" s="399">
        <f t="shared" si="4"/>
        <v>0</v>
      </c>
      <c r="M16" s="399">
        <f t="shared" si="4"/>
        <v>0</v>
      </c>
      <c r="N16" s="399">
        <f t="shared" si="4"/>
        <v>0</v>
      </c>
      <c r="O16" s="399">
        <f t="shared" si="4"/>
        <v>0</v>
      </c>
      <c r="P16" s="399">
        <f t="shared" si="4"/>
        <v>0</v>
      </c>
      <c r="Q16" s="399">
        <f t="shared" si="4"/>
        <v>0</v>
      </c>
      <c r="R16" s="399">
        <f t="shared" si="4"/>
        <v>0</v>
      </c>
      <c r="S16" s="399">
        <f t="shared" si="4"/>
        <v>0</v>
      </c>
      <c r="T16" s="399">
        <f t="shared" si="4"/>
        <v>0</v>
      </c>
      <c r="U16" s="399">
        <f t="shared" si="4"/>
        <v>0</v>
      </c>
      <c r="V16" s="399">
        <f t="shared" si="4"/>
        <v>0</v>
      </c>
      <c r="W16" s="399">
        <f t="shared" si="4"/>
        <v>0</v>
      </c>
      <c r="X16" s="399">
        <f t="shared" si="4"/>
        <v>0</v>
      </c>
      <c r="Y16" s="399">
        <f t="shared" si="4"/>
        <v>0</v>
      </c>
      <c r="Z16" s="399">
        <f t="shared" si="4"/>
        <v>0</v>
      </c>
      <c r="AA16" s="399">
        <f t="shared" si="4"/>
        <v>0</v>
      </c>
      <c r="AB16" s="399">
        <f t="shared" si="4"/>
        <v>0</v>
      </c>
      <c r="AC16" s="399">
        <f t="shared" si="4"/>
        <v>0</v>
      </c>
      <c r="AD16" s="399">
        <f t="shared" si="4"/>
        <v>0</v>
      </c>
      <c r="AE16" s="399">
        <f t="shared" si="4"/>
        <v>0</v>
      </c>
      <c r="AF16" s="399">
        <f t="shared" si="4"/>
        <v>0</v>
      </c>
      <c r="AG16" s="399">
        <f t="shared" si="4"/>
        <v>0</v>
      </c>
      <c r="AH16" s="399">
        <f t="shared" si="4"/>
        <v>0</v>
      </c>
      <c r="AI16" s="399">
        <f t="shared" si="4"/>
        <v>0</v>
      </c>
      <c r="AJ16" s="399">
        <f t="shared" si="4"/>
        <v>0</v>
      </c>
    </row>
    <row r="18" spans="2:36" ht="36" customHeight="1"/>
    <row r="20" spans="2:36">
      <c r="B20" s="370" t="s">
        <v>463</v>
      </c>
    </row>
    <row r="22" spans="2:36">
      <c r="B22" s="946" t="str">
        <f>$B$40</f>
        <v xml:space="preserve">Košice – Poprad – Žilina – Trenčín – Trnava – Bratislava </v>
      </c>
      <c r="C22" s="946"/>
      <c r="D22" s="946"/>
      <c r="G22" s="841">
        <v>0</v>
      </c>
      <c r="H22" s="841">
        <v>0</v>
      </c>
      <c r="I22" s="841">
        <v>0</v>
      </c>
      <c r="J22" s="841">
        <v>0</v>
      </c>
      <c r="K22" s="842">
        <v>0.5</v>
      </c>
      <c r="L22" s="845">
        <v>1</v>
      </c>
      <c r="M22" s="845">
        <v>1</v>
      </c>
      <c r="N22" s="845">
        <v>1</v>
      </c>
      <c r="O22" s="845">
        <v>1</v>
      </c>
      <c r="P22" s="845">
        <v>1</v>
      </c>
      <c r="Q22" s="845">
        <v>1</v>
      </c>
      <c r="R22" s="845">
        <v>1</v>
      </c>
      <c r="S22" s="845">
        <v>1</v>
      </c>
      <c r="T22" s="845">
        <v>1</v>
      </c>
      <c r="U22" s="845">
        <v>1</v>
      </c>
      <c r="V22" s="845">
        <v>1</v>
      </c>
      <c r="W22" s="845">
        <v>1</v>
      </c>
      <c r="X22" s="845">
        <v>1</v>
      </c>
      <c r="Y22" s="845">
        <v>1</v>
      </c>
      <c r="Z22" s="845">
        <v>1</v>
      </c>
      <c r="AA22" s="845">
        <v>1</v>
      </c>
      <c r="AB22" s="845">
        <v>1</v>
      </c>
      <c r="AC22" s="845">
        <v>1</v>
      </c>
      <c r="AD22" s="845">
        <v>1</v>
      </c>
      <c r="AE22" s="845">
        <v>1</v>
      </c>
      <c r="AF22" s="845">
        <v>1</v>
      </c>
      <c r="AG22" s="845">
        <v>1</v>
      </c>
      <c r="AH22" s="845">
        <v>1</v>
      </c>
      <c r="AI22" s="845">
        <v>1</v>
      </c>
      <c r="AJ22" s="845">
        <v>1</v>
      </c>
    </row>
    <row r="23" spans="2:36">
      <c r="B23" s="946" t="str">
        <f>$B$41</f>
        <v xml:space="preserve">Budapešť – Bratislava – Brno – Praha </v>
      </c>
      <c r="C23" s="946"/>
      <c r="D23" s="946"/>
      <c r="G23" s="841">
        <v>0</v>
      </c>
      <c r="H23" s="841">
        <v>0</v>
      </c>
      <c r="I23" s="841">
        <v>0</v>
      </c>
      <c r="J23" s="841">
        <v>0</v>
      </c>
      <c r="K23" s="842">
        <v>0.5</v>
      </c>
      <c r="L23" s="845">
        <v>1</v>
      </c>
      <c r="M23" s="845">
        <v>1</v>
      </c>
      <c r="N23" s="845">
        <v>1</v>
      </c>
      <c r="O23" s="845">
        <v>1</v>
      </c>
      <c r="P23" s="845">
        <v>1</v>
      </c>
      <c r="Q23" s="845">
        <v>1</v>
      </c>
      <c r="R23" s="845">
        <v>1</v>
      </c>
      <c r="S23" s="845">
        <v>1</v>
      </c>
      <c r="T23" s="845">
        <v>1</v>
      </c>
      <c r="U23" s="845">
        <v>1</v>
      </c>
      <c r="V23" s="845">
        <v>1</v>
      </c>
      <c r="W23" s="845">
        <v>1</v>
      </c>
      <c r="X23" s="845">
        <v>1</v>
      </c>
      <c r="Y23" s="845">
        <v>1</v>
      </c>
      <c r="Z23" s="845">
        <v>1</v>
      </c>
      <c r="AA23" s="845">
        <v>1</v>
      </c>
      <c r="AB23" s="845">
        <v>1</v>
      </c>
      <c r="AC23" s="845">
        <v>1</v>
      </c>
      <c r="AD23" s="845">
        <v>1</v>
      </c>
      <c r="AE23" s="845">
        <v>1</v>
      </c>
      <c r="AF23" s="845">
        <v>1</v>
      </c>
      <c r="AG23" s="845">
        <v>1</v>
      </c>
      <c r="AH23" s="845">
        <v>1</v>
      </c>
      <c r="AI23" s="845">
        <v>1</v>
      </c>
      <c r="AJ23" s="845">
        <v>1</v>
      </c>
    </row>
    <row r="24" spans="2:36">
      <c r="B24" s="946" t="str">
        <f>$B$42</f>
        <v xml:space="preserve"> Bratislava – Viedeň – Salzburg – Innsbruck / Zürich / Mníchov / </v>
      </c>
      <c r="C24" s="946"/>
      <c r="D24" s="946"/>
      <c r="G24" s="841">
        <v>0</v>
      </c>
      <c r="H24" s="841">
        <v>0</v>
      </c>
      <c r="I24" s="841">
        <v>0</v>
      </c>
      <c r="J24" s="841">
        <v>0</v>
      </c>
      <c r="K24" s="842">
        <v>0.5</v>
      </c>
      <c r="L24" s="845">
        <v>1</v>
      </c>
      <c r="M24" s="845">
        <v>1</v>
      </c>
      <c r="N24" s="845">
        <v>1</v>
      </c>
      <c r="O24" s="845">
        <v>1</v>
      </c>
      <c r="P24" s="845">
        <v>1</v>
      </c>
      <c r="Q24" s="845">
        <v>1</v>
      </c>
      <c r="R24" s="845">
        <v>1</v>
      </c>
      <c r="S24" s="845">
        <v>1</v>
      </c>
      <c r="T24" s="845">
        <v>1</v>
      </c>
      <c r="U24" s="845">
        <v>1</v>
      </c>
      <c r="V24" s="845">
        <v>1</v>
      </c>
      <c r="W24" s="845">
        <v>1</v>
      </c>
      <c r="X24" s="845">
        <v>1</v>
      </c>
      <c r="Y24" s="845">
        <v>1</v>
      </c>
      <c r="Z24" s="845">
        <v>1</v>
      </c>
      <c r="AA24" s="845">
        <v>1</v>
      </c>
      <c r="AB24" s="845">
        <v>1</v>
      </c>
      <c r="AC24" s="845">
        <v>1</v>
      </c>
      <c r="AD24" s="845">
        <v>1</v>
      </c>
      <c r="AE24" s="845">
        <v>1</v>
      </c>
      <c r="AF24" s="845">
        <v>1</v>
      </c>
      <c r="AG24" s="845">
        <v>1</v>
      </c>
      <c r="AH24" s="845">
        <v>1</v>
      </c>
      <c r="AI24" s="845">
        <v>1</v>
      </c>
      <c r="AJ24" s="845">
        <v>1</v>
      </c>
    </row>
    <row r="26" spans="2:36" ht="35.1" customHeight="1"/>
    <row r="28" spans="2:36">
      <c r="C28" s="397" t="s">
        <v>474</v>
      </c>
      <c r="D28" s="400" t="s">
        <v>500</v>
      </c>
    </row>
    <row r="29" spans="2:36">
      <c r="B29" s="370" t="s">
        <v>515</v>
      </c>
    </row>
    <row r="31" spans="2:36">
      <c r="B31" s="398" t="str">
        <f>$B$40</f>
        <v xml:space="preserve">Košice – Poprad – Žilina – Trenčín – Trnava – Bratislava </v>
      </c>
      <c r="C31" s="382">
        <f>F65</f>
        <v>9490</v>
      </c>
      <c r="D31" s="383">
        <f>E49</f>
        <v>0.16650000000000001</v>
      </c>
      <c r="G31" s="401">
        <f>G40</f>
        <v>3163.3333333333335</v>
      </c>
      <c r="H31" s="401">
        <f t="shared" ref="H31:J31" si="8">H40</f>
        <v>3163.3333333333335</v>
      </c>
      <c r="I31" s="401">
        <f t="shared" si="8"/>
        <v>3163.3333333333335</v>
      </c>
      <c r="J31" s="401">
        <f t="shared" si="8"/>
        <v>3163.3333333333335</v>
      </c>
      <c r="K31" s="401">
        <f t="shared" ref="K31:AJ31" si="9">$C$31*$D$31</f>
        <v>1580.085</v>
      </c>
      <c r="L31" s="401">
        <f t="shared" si="9"/>
        <v>1580.085</v>
      </c>
      <c r="M31" s="401">
        <f t="shared" si="9"/>
        <v>1580.085</v>
      </c>
      <c r="N31" s="401">
        <f t="shared" si="9"/>
        <v>1580.085</v>
      </c>
      <c r="O31" s="401">
        <f t="shared" si="9"/>
        <v>1580.085</v>
      </c>
      <c r="P31" s="401">
        <f t="shared" si="9"/>
        <v>1580.085</v>
      </c>
      <c r="Q31" s="401">
        <f t="shared" si="9"/>
        <v>1580.085</v>
      </c>
      <c r="R31" s="401">
        <f t="shared" si="9"/>
        <v>1580.085</v>
      </c>
      <c r="S31" s="401">
        <f t="shared" si="9"/>
        <v>1580.085</v>
      </c>
      <c r="T31" s="401">
        <f t="shared" si="9"/>
        <v>1580.085</v>
      </c>
      <c r="U31" s="401">
        <f t="shared" si="9"/>
        <v>1580.085</v>
      </c>
      <c r="V31" s="401">
        <f t="shared" si="9"/>
        <v>1580.085</v>
      </c>
      <c r="W31" s="401">
        <f t="shared" si="9"/>
        <v>1580.085</v>
      </c>
      <c r="X31" s="401">
        <f t="shared" si="9"/>
        <v>1580.085</v>
      </c>
      <c r="Y31" s="401">
        <f t="shared" si="9"/>
        <v>1580.085</v>
      </c>
      <c r="Z31" s="401">
        <f t="shared" si="9"/>
        <v>1580.085</v>
      </c>
      <c r="AA31" s="401">
        <f t="shared" si="9"/>
        <v>1580.085</v>
      </c>
      <c r="AB31" s="401">
        <f t="shared" si="9"/>
        <v>1580.085</v>
      </c>
      <c r="AC31" s="401">
        <f t="shared" si="9"/>
        <v>1580.085</v>
      </c>
      <c r="AD31" s="401">
        <f t="shared" si="9"/>
        <v>1580.085</v>
      </c>
      <c r="AE31" s="401">
        <f t="shared" si="9"/>
        <v>1580.085</v>
      </c>
      <c r="AF31" s="401">
        <f t="shared" si="9"/>
        <v>1580.085</v>
      </c>
      <c r="AG31" s="401">
        <f t="shared" si="9"/>
        <v>1580.085</v>
      </c>
      <c r="AH31" s="401">
        <f t="shared" si="9"/>
        <v>1580.085</v>
      </c>
      <c r="AI31" s="401">
        <f t="shared" si="9"/>
        <v>1580.085</v>
      </c>
      <c r="AJ31" s="401">
        <f t="shared" si="9"/>
        <v>1580.085</v>
      </c>
    </row>
    <row r="32" spans="2:36">
      <c r="B32" s="398" t="str">
        <f>$B$41</f>
        <v xml:space="preserve">Budapešť – Bratislava – Brno – Praha </v>
      </c>
      <c r="C32" s="382">
        <f t="shared" ref="C32" si="10">F66</f>
        <v>0</v>
      </c>
      <c r="D32" s="383">
        <v>0</v>
      </c>
      <c r="G32" s="401">
        <f t="shared" ref="G32:J33" si="11">G41</f>
        <v>0</v>
      </c>
      <c r="H32" s="401">
        <f t="shared" si="11"/>
        <v>0</v>
      </c>
      <c r="I32" s="401">
        <f t="shared" si="11"/>
        <v>0</v>
      </c>
      <c r="J32" s="401">
        <f t="shared" si="11"/>
        <v>0</v>
      </c>
      <c r="K32" s="401">
        <f t="shared" ref="K32:AJ32" si="12">$C$32*$D$32</f>
        <v>0</v>
      </c>
      <c r="L32" s="401">
        <f t="shared" si="12"/>
        <v>0</v>
      </c>
      <c r="M32" s="401">
        <f t="shared" si="12"/>
        <v>0</v>
      </c>
      <c r="N32" s="401">
        <f t="shared" si="12"/>
        <v>0</v>
      </c>
      <c r="O32" s="401">
        <f t="shared" si="12"/>
        <v>0</v>
      </c>
      <c r="P32" s="401">
        <f t="shared" si="12"/>
        <v>0</v>
      </c>
      <c r="Q32" s="401">
        <f t="shared" si="12"/>
        <v>0</v>
      </c>
      <c r="R32" s="401">
        <f t="shared" si="12"/>
        <v>0</v>
      </c>
      <c r="S32" s="401">
        <f t="shared" si="12"/>
        <v>0</v>
      </c>
      <c r="T32" s="401">
        <f t="shared" si="12"/>
        <v>0</v>
      </c>
      <c r="U32" s="401">
        <f t="shared" si="12"/>
        <v>0</v>
      </c>
      <c r="V32" s="401">
        <f t="shared" si="12"/>
        <v>0</v>
      </c>
      <c r="W32" s="401">
        <f t="shared" si="12"/>
        <v>0</v>
      </c>
      <c r="X32" s="401">
        <f t="shared" si="12"/>
        <v>0</v>
      </c>
      <c r="Y32" s="401">
        <f t="shared" si="12"/>
        <v>0</v>
      </c>
      <c r="Z32" s="401">
        <f t="shared" si="12"/>
        <v>0</v>
      </c>
      <c r="AA32" s="401">
        <f t="shared" si="12"/>
        <v>0</v>
      </c>
      <c r="AB32" s="401">
        <f t="shared" si="12"/>
        <v>0</v>
      </c>
      <c r="AC32" s="401">
        <f t="shared" si="12"/>
        <v>0</v>
      </c>
      <c r="AD32" s="401">
        <f t="shared" si="12"/>
        <v>0</v>
      </c>
      <c r="AE32" s="401">
        <f t="shared" si="12"/>
        <v>0</v>
      </c>
      <c r="AF32" s="401">
        <f t="shared" si="12"/>
        <v>0</v>
      </c>
      <c r="AG32" s="401">
        <f t="shared" si="12"/>
        <v>0</v>
      </c>
      <c r="AH32" s="401">
        <f t="shared" si="12"/>
        <v>0</v>
      </c>
      <c r="AI32" s="401">
        <f t="shared" si="12"/>
        <v>0</v>
      </c>
      <c r="AJ32" s="401">
        <f t="shared" si="12"/>
        <v>0</v>
      </c>
    </row>
    <row r="33" spans="2:36">
      <c r="B33" s="398" t="str">
        <f>$B$42</f>
        <v xml:space="preserve"> Bratislava – Viedeň – Salzburg – Innsbruck / Zürich / Mníchov / </v>
      </c>
      <c r="C33" s="382">
        <f>F67</f>
        <v>0</v>
      </c>
      <c r="D33" s="383">
        <v>0</v>
      </c>
      <c r="G33" s="401">
        <f t="shared" si="11"/>
        <v>0</v>
      </c>
      <c r="H33" s="401">
        <f t="shared" si="11"/>
        <v>0</v>
      </c>
      <c r="I33" s="401">
        <f t="shared" si="11"/>
        <v>0</v>
      </c>
      <c r="J33" s="401">
        <f t="shared" si="11"/>
        <v>0</v>
      </c>
      <c r="K33" s="401">
        <f t="shared" ref="K33:AJ33" si="13">$C$33*$D$33</f>
        <v>0</v>
      </c>
      <c r="L33" s="401">
        <f t="shared" si="13"/>
        <v>0</v>
      </c>
      <c r="M33" s="401">
        <f t="shared" si="13"/>
        <v>0</v>
      </c>
      <c r="N33" s="401">
        <f t="shared" si="13"/>
        <v>0</v>
      </c>
      <c r="O33" s="401">
        <f t="shared" si="13"/>
        <v>0</v>
      </c>
      <c r="P33" s="401">
        <f t="shared" si="13"/>
        <v>0</v>
      </c>
      <c r="Q33" s="401">
        <f t="shared" si="13"/>
        <v>0</v>
      </c>
      <c r="R33" s="401">
        <f t="shared" si="13"/>
        <v>0</v>
      </c>
      <c r="S33" s="401">
        <f t="shared" si="13"/>
        <v>0</v>
      </c>
      <c r="T33" s="401">
        <f t="shared" si="13"/>
        <v>0</v>
      </c>
      <c r="U33" s="401">
        <f t="shared" si="13"/>
        <v>0</v>
      </c>
      <c r="V33" s="401">
        <f t="shared" si="13"/>
        <v>0</v>
      </c>
      <c r="W33" s="401">
        <f t="shared" si="13"/>
        <v>0</v>
      </c>
      <c r="X33" s="401">
        <f t="shared" si="13"/>
        <v>0</v>
      </c>
      <c r="Y33" s="401">
        <f t="shared" si="13"/>
        <v>0</v>
      </c>
      <c r="Z33" s="401">
        <f t="shared" si="13"/>
        <v>0</v>
      </c>
      <c r="AA33" s="401">
        <f t="shared" si="13"/>
        <v>0</v>
      </c>
      <c r="AB33" s="401">
        <f t="shared" si="13"/>
        <v>0</v>
      </c>
      <c r="AC33" s="401">
        <f t="shared" si="13"/>
        <v>0</v>
      </c>
      <c r="AD33" s="401">
        <f t="shared" si="13"/>
        <v>0</v>
      </c>
      <c r="AE33" s="401">
        <f t="shared" si="13"/>
        <v>0</v>
      </c>
      <c r="AF33" s="401">
        <f t="shared" si="13"/>
        <v>0</v>
      </c>
      <c r="AG33" s="401">
        <f t="shared" si="13"/>
        <v>0</v>
      </c>
      <c r="AH33" s="401">
        <f t="shared" si="13"/>
        <v>0</v>
      </c>
      <c r="AI33" s="401">
        <f t="shared" si="13"/>
        <v>0</v>
      </c>
      <c r="AJ33" s="401">
        <f t="shared" si="13"/>
        <v>0</v>
      </c>
    </row>
    <row r="34" spans="2:36">
      <c r="G34" s="402"/>
      <c r="H34" s="402"/>
      <c r="I34" s="402"/>
      <c r="J34" s="402"/>
      <c r="K34" s="402"/>
      <c r="L34" s="402"/>
      <c r="M34" s="402"/>
      <c r="N34" s="402"/>
      <c r="O34" s="402"/>
      <c r="P34" s="402"/>
      <c r="Q34" s="402"/>
      <c r="R34" s="402"/>
      <c r="S34" s="402"/>
      <c r="T34" s="402"/>
      <c r="U34" s="402"/>
      <c r="V34" s="402"/>
      <c r="W34" s="402"/>
      <c r="X34" s="402"/>
      <c r="Y34" s="402"/>
      <c r="Z34" s="402"/>
      <c r="AA34" s="402"/>
      <c r="AB34" s="402"/>
      <c r="AC34" s="402"/>
      <c r="AD34" s="402"/>
      <c r="AE34" s="402"/>
      <c r="AF34" s="402"/>
      <c r="AG34" s="402"/>
      <c r="AH34" s="402"/>
      <c r="AI34" s="402"/>
      <c r="AJ34" s="402"/>
    </row>
    <row r="35" spans="2:36" ht="33" customHeight="1">
      <c r="G35" s="402"/>
      <c r="H35" s="402"/>
      <c r="I35" s="402"/>
      <c r="J35" s="402"/>
      <c r="K35" s="402"/>
      <c r="L35" s="402"/>
      <c r="M35" s="402"/>
      <c r="N35" s="402"/>
      <c r="O35" s="402"/>
      <c r="P35" s="402"/>
      <c r="Q35" s="402"/>
      <c r="R35" s="402"/>
      <c r="S35" s="402"/>
      <c r="T35" s="402"/>
      <c r="U35" s="402"/>
      <c r="V35" s="402"/>
      <c r="W35" s="402"/>
      <c r="X35" s="402"/>
      <c r="Y35" s="402"/>
      <c r="Z35" s="402"/>
      <c r="AA35" s="402"/>
      <c r="AB35" s="402"/>
      <c r="AC35" s="402"/>
      <c r="AD35" s="402"/>
      <c r="AE35" s="402"/>
      <c r="AF35" s="402"/>
      <c r="AG35" s="402"/>
      <c r="AH35" s="402"/>
      <c r="AI35" s="402"/>
      <c r="AJ35" s="402"/>
    </row>
    <row r="36" spans="2:36">
      <c r="G36" s="402"/>
      <c r="H36" s="402"/>
      <c r="I36" s="402"/>
      <c r="J36" s="402"/>
      <c r="K36" s="402"/>
      <c r="L36" s="402"/>
      <c r="M36" s="402"/>
      <c r="N36" s="402"/>
      <c r="O36" s="402"/>
      <c r="P36" s="402"/>
      <c r="Q36" s="402"/>
      <c r="R36" s="402"/>
      <c r="S36" s="402"/>
      <c r="T36" s="402"/>
      <c r="U36" s="402"/>
      <c r="V36" s="402"/>
      <c r="W36" s="402"/>
      <c r="X36" s="402"/>
      <c r="Y36" s="402"/>
      <c r="Z36" s="402"/>
      <c r="AA36" s="402"/>
      <c r="AB36" s="402"/>
      <c r="AC36" s="402"/>
      <c r="AD36" s="402"/>
      <c r="AE36" s="402"/>
      <c r="AF36" s="402"/>
      <c r="AG36" s="402"/>
      <c r="AH36" s="402"/>
      <c r="AI36" s="402"/>
      <c r="AJ36" s="402"/>
    </row>
    <row r="37" spans="2:36">
      <c r="C37" s="397" t="s">
        <v>474</v>
      </c>
      <c r="D37" s="400" t="s">
        <v>499</v>
      </c>
      <c r="G37" s="402"/>
      <c r="H37" s="402"/>
      <c r="I37" s="402"/>
      <c r="J37" s="402"/>
      <c r="K37" s="402"/>
      <c r="L37" s="402"/>
      <c r="M37" s="402"/>
      <c r="N37" s="402"/>
      <c r="O37" s="402"/>
      <c r="P37" s="402"/>
      <c r="Q37" s="402"/>
      <c r="R37" s="402"/>
      <c r="S37" s="402"/>
      <c r="T37" s="402"/>
      <c r="U37" s="402"/>
      <c r="V37" s="402"/>
      <c r="W37" s="402"/>
      <c r="X37" s="402"/>
      <c r="Y37" s="402"/>
      <c r="Z37" s="402"/>
      <c r="AA37" s="402"/>
      <c r="AB37" s="402"/>
      <c r="AC37" s="402"/>
      <c r="AD37" s="402"/>
      <c r="AE37" s="402"/>
      <c r="AF37" s="402"/>
      <c r="AG37" s="402"/>
      <c r="AH37" s="402"/>
      <c r="AI37" s="402"/>
      <c r="AJ37" s="402"/>
    </row>
    <row r="38" spans="2:36">
      <c r="B38" s="370" t="s">
        <v>516</v>
      </c>
      <c r="C38" s="399"/>
      <c r="D38" s="403"/>
      <c r="G38" s="402"/>
      <c r="H38" s="402"/>
      <c r="I38" s="402"/>
      <c r="J38" s="402"/>
      <c r="K38" s="402"/>
      <c r="L38" s="402"/>
      <c r="M38" s="402"/>
      <c r="N38" s="402"/>
      <c r="O38" s="402"/>
      <c r="P38" s="402"/>
      <c r="Q38" s="402"/>
      <c r="R38" s="402"/>
      <c r="S38" s="402"/>
      <c r="T38" s="402"/>
      <c r="U38" s="402"/>
      <c r="V38" s="402"/>
      <c r="W38" s="402"/>
      <c r="X38" s="402"/>
      <c r="Y38" s="402"/>
      <c r="Z38" s="402"/>
      <c r="AA38" s="402"/>
      <c r="AB38" s="402"/>
      <c r="AC38" s="402"/>
      <c r="AD38" s="402"/>
      <c r="AE38" s="402"/>
      <c r="AF38" s="402"/>
      <c r="AG38" s="402"/>
      <c r="AH38" s="402"/>
      <c r="AI38" s="402"/>
      <c r="AJ38" s="402"/>
    </row>
    <row r="39" spans="2:36">
      <c r="G39" s="402"/>
      <c r="H39" s="402"/>
      <c r="I39" s="402"/>
      <c r="J39" s="402"/>
      <c r="K39" s="402"/>
      <c r="L39" s="402"/>
      <c r="M39" s="402"/>
      <c r="N39" s="402"/>
      <c r="O39" s="402"/>
      <c r="P39" s="402"/>
      <c r="Q39" s="402"/>
      <c r="R39" s="402"/>
      <c r="S39" s="402"/>
      <c r="T39" s="402"/>
      <c r="U39" s="402"/>
      <c r="V39" s="402"/>
      <c r="W39" s="402"/>
      <c r="X39" s="402"/>
      <c r="Y39" s="402"/>
      <c r="Z39" s="402"/>
      <c r="AA39" s="402"/>
      <c r="AB39" s="402"/>
      <c r="AC39" s="402"/>
      <c r="AD39" s="402"/>
      <c r="AE39" s="402"/>
      <c r="AF39" s="402"/>
      <c r="AG39" s="402"/>
      <c r="AH39" s="402"/>
      <c r="AI39" s="402"/>
      <c r="AJ39" s="402"/>
    </row>
    <row r="40" spans="2:36">
      <c r="B40" s="398" t="s">
        <v>475</v>
      </c>
      <c r="C40" s="382">
        <f>F60</f>
        <v>9490</v>
      </c>
      <c r="D40" s="383">
        <f>E48</f>
        <v>0.33333333333333337</v>
      </c>
      <c r="G40" s="401">
        <f>$C$40*$D$40</f>
        <v>3163.3333333333335</v>
      </c>
      <c r="H40" s="401">
        <f t="shared" ref="H40:AJ40" si="14">$C$40*$D$40</f>
        <v>3163.3333333333335</v>
      </c>
      <c r="I40" s="401">
        <f t="shared" si="14"/>
        <v>3163.3333333333335</v>
      </c>
      <c r="J40" s="401">
        <f t="shared" si="14"/>
        <v>3163.3333333333335</v>
      </c>
      <c r="K40" s="401">
        <f t="shared" si="14"/>
        <v>3163.3333333333335</v>
      </c>
      <c r="L40" s="401">
        <f t="shared" si="14"/>
        <v>3163.3333333333335</v>
      </c>
      <c r="M40" s="401">
        <f t="shared" si="14"/>
        <v>3163.3333333333335</v>
      </c>
      <c r="N40" s="401">
        <f t="shared" si="14"/>
        <v>3163.3333333333335</v>
      </c>
      <c r="O40" s="401">
        <f t="shared" si="14"/>
        <v>3163.3333333333335</v>
      </c>
      <c r="P40" s="401">
        <f t="shared" si="14"/>
        <v>3163.3333333333335</v>
      </c>
      <c r="Q40" s="401">
        <f t="shared" si="14"/>
        <v>3163.3333333333335</v>
      </c>
      <c r="R40" s="401">
        <f t="shared" si="14"/>
        <v>3163.3333333333335</v>
      </c>
      <c r="S40" s="401">
        <f t="shared" si="14"/>
        <v>3163.3333333333335</v>
      </c>
      <c r="T40" s="401">
        <f t="shared" si="14"/>
        <v>3163.3333333333335</v>
      </c>
      <c r="U40" s="401">
        <f t="shared" si="14"/>
        <v>3163.3333333333335</v>
      </c>
      <c r="V40" s="401">
        <f t="shared" si="14"/>
        <v>3163.3333333333335</v>
      </c>
      <c r="W40" s="401">
        <f t="shared" si="14"/>
        <v>3163.3333333333335</v>
      </c>
      <c r="X40" s="401">
        <f t="shared" si="14"/>
        <v>3163.3333333333335</v>
      </c>
      <c r="Y40" s="401">
        <f t="shared" si="14"/>
        <v>3163.3333333333335</v>
      </c>
      <c r="Z40" s="401">
        <f t="shared" si="14"/>
        <v>3163.3333333333335</v>
      </c>
      <c r="AA40" s="401">
        <f t="shared" si="14"/>
        <v>3163.3333333333335</v>
      </c>
      <c r="AB40" s="401">
        <f t="shared" si="14"/>
        <v>3163.3333333333335</v>
      </c>
      <c r="AC40" s="401">
        <f t="shared" si="14"/>
        <v>3163.3333333333335</v>
      </c>
      <c r="AD40" s="401">
        <f t="shared" si="14"/>
        <v>3163.3333333333335</v>
      </c>
      <c r="AE40" s="401">
        <f t="shared" si="14"/>
        <v>3163.3333333333335</v>
      </c>
      <c r="AF40" s="401">
        <f t="shared" si="14"/>
        <v>3163.3333333333335</v>
      </c>
      <c r="AG40" s="401">
        <f t="shared" si="14"/>
        <v>3163.3333333333335</v>
      </c>
      <c r="AH40" s="401">
        <f t="shared" si="14"/>
        <v>3163.3333333333335</v>
      </c>
      <c r="AI40" s="401">
        <f t="shared" si="14"/>
        <v>3163.3333333333335</v>
      </c>
      <c r="AJ40" s="401">
        <f t="shared" si="14"/>
        <v>3163.3333333333335</v>
      </c>
    </row>
    <row r="41" spans="2:36">
      <c r="B41" s="404" t="s">
        <v>476</v>
      </c>
      <c r="C41" s="382">
        <f>F61</f>
        <v>0</v>
      </c>
      <c r="D41" s="383">
        <v>0</v>
      </c>
      <c r="G41" s="401">
        <f>$C$41*$D$41</f>
        <v>0</v>
      </c>
      <c r="H41" s="401">
        <f t="shared" ref="H41:AJ41" si="15">$C$41*$D$41</f>
        <v>0</v>
      </c>
      <c r="I41" s="401">
        <f t="shared" si="15"/>
        <v>0</v>
      </c>
      <c r="J41" s="401">
        <f t="shared" si="15"/>
        <v>0</v>
      </c>
      <c r="K41" s="401">
        <f t="shared" si="15"/>
        <v>0</v>
      </c>
      <c r="L41" s="401">
        <f t="shared" si="15"/>
        <v>0</v>
      </c>
      <c r="M41" s="401">
        <f t="shared" si="15"/>
        <v>0</v>
      </c>
      <c r="N41" s="401">
        <f t="shared" si="15"/>
        <v>0</v>
      </c>
      <c r="O41" s="401">
        <f t="shared" si="15"/>
        <v>0</v>
      </c>
      <c r="P41" s="401">
        <f t="shared" si="15"/>
        <v>0</v>
      </c>
      <c r="Q41" s="401">
        <f t="shared" si="15"/>
        <v>0</v>
      </c>
      <c r="R41" s="401">
        <f t="shared" si="15"/>
        <v>0</v>
      </c>
      <c r="S41" s="401">
        <f t="shared" si="15"/>
        <v>0</v>
      </c>
      <c r="T41" s="401">
        <f t="shared" si="15"/>
        <v>0</v>
      </c>
      <c r="U41" s="401">
        <f t="shared" si="15"/>
        <v>0</v>
      </c>
      <c r="V41" s="401">
        <f t="shared" si="15"/>
        <v>0</v>
      </c>
      <c r="W41" s="401">
        <f t="shared" si="15"/>
        <v>0</v>
      </c>
      <c r="X41" s="401">
        <f t="shared" si="15"/>
        <v>0</v>
      </c>
      <c r="Y41" s="401">
        <f t="shared" si="15"/>
        <v>0</v>
      </c>
      <c r="Z41" s="401">
        <f t="shared" si="15"/>
        <v>0</v>
      </c>
      <c r="AA41" s="401">
        <f t="shared" si="15"/>
        <v>0</v>
      </c>
      <c r="AB41" s="401">
        <f t="shared" si="15"/>
        <v>0</v>
      </c>
      <c r="AC41" s="401">
        <f t="shared" si="15"/>
        <v>0</v>
      </c>
      <c r="AD41" s="401">
        <f t="shared" si="15"/>
        <v>0</v>
      </c>
      <c r="AE41" s="401">
        <f t="shared" si="15"/>
        <v>0</v>
      </c>
      <c r="AF41" s="401">
        <f t="shared" si="15"/>
        <v>0</v>
      </c>
      <c r="AG41" s="401">
        <f t="shared" si="15"/>
        <v>0</v>
      </c>
      <c r="AH41" s="401">
        <f t="shared" si="15"/>
        <v>0</v>
      </c>
      <c r="AI41" s="401">
        <f t="shared" si="15"/>
        <v>0</v>
      </c>
      <c r="AJ41" s="401">
        <f t="shared" si="15"/>
        <v>0</v>
      </c>
    </row>
    <row r="42" spans="2:36">
      <c r="B42" s="405" t="s">
        <v>477</v>
      </c>
      <c r="C42" s="382">
        <f>F62</f>
        <v>0</v>
      </c>
      <c r="D42" s="383">
        <v>0</v>
      </c>
      <c r="G42" s="401">
        <f>$C$42*$D$42</f>
        <v>0</v>
      </c>
      <c r="H42" s="401">
        <f t="shared" ref="H42:AJ42" si="16">$C$42*$D$42</f>
        <v>0</v>
      </c>
      <c r="I42" s="401">
        <f t="shared" si="16"/>
        <v>0</v>
      </c>
      <c r="J42" s="401">
        <f t="shared" si="16"/>
        <v>0</v>
      </c>
      <c r="K42" s="401">
        <f t="shared" si="16"/>
        <v>0</v>
      </c>
      <c r="L42" s="401">
        <f t="shared" si="16"/>
        <v>0</v>
      </c>
      <c r="M42" s="401">
        <f t="shared" si="16"/>
        <v>0</v>
      </c>
      <c r="N42" s="401">
        <f t="shared" si="16"/>
        <v>0</v>
      </c>
      <c r="O42" s="401">
        <f t="shared" si="16"/>
        <v>0</v>
      </c>
      <c r="P42" s="401">
        <f t="shared" si="16"/>
        <v>0</v>
      </c>
      <c r="Q42" s="401">
        <f t="shared" si="16"/>
        <v>0</v>
      </c>
      <c r="R42" s="401">
        <f t="shared" si="16"/>
        <v>0</v>
      </c>
      <c r="S42" s="401">
        <f t="shared" si="16"/>
        <v>0</v>
      </c>
      <c r="T42" s="401">
        <f t="shared" si="16"/>
        <v>0</v>
      </c>
      <c r="U42" s="401">
        <f t="shared" si="16"/>
        <v>0</v>
      </c>
      <c r="V42" s="401">
        <f t="shared" si="16"/>
        <v>0</v>
      </c>
      <c r="W42" s="401">
        <f t="shared" si="16"/>
        <v>0</v>
      </c>
      <c r="X42" s="401">
        <f t="shared" si="16"/>
        <v>0</v>
      </c>
      <c r="Y42" s="401">
        <f t="shared" si="16"/>
        <v>0</v>
      </c>
      <c r="Z42" s="401">
        <f t="shared" si="16"/>
        <v>0</v>
      </c>
      <c r="AA42" s="401">
        <f t="shared" si="16"/>
        <v>0</v>
      </c>
      <c r="AB42" s="401">
        <f t="shared" si="16"/>
        <v>0</v>
      </c>
      <c r="AC42" s="401">
        <f t="shared" si="16"/>
        <v>0</v>
      </c>
      <c r="AD42" s="401">
        <f t="shared" si="16"/>
        <v>0</v>
      </c>
      <c r="AE42" s="401">
        <f t="shared" si="16"/>
        <v>0</v>
      </c>
      <c r="AF42" s="401">
        <f t="shared" si="16"/>
        <v>0</v>
      </c>
      <c r="AG42" s="401">
        <f t="shared" si="16"/>
        <v>0</v>
      </c>
      <c r="AH42" s="401">
        <f t="shared" si="16"/>
        <v>0</v>
      </c>
      <c r="AI42" s="401">
        <f t="shared" si="16"/>
        <v>0</v>
      </c>
      <c r="AJ42" s="401">
        <f t="shared" si="16"/>
        <v>0</v>
      </c>
    </row>
    <row r="47" spans="2:36">
      <c r="B47" s="406" t="s">
        <v>495</v>
      </c>
      <c r="C47" s="407" t="s">
        <v>496</v>
      </c>
      <c r="D47" s="407" t="s">
        <v>497</v>
      </c>
      <c r="E47" s="407" t="s">
        <v>498</v>
      </c>
    </row>
    <row r="48" spans="2:36">
      <c r="B48" s="408" t="s">
        <v>499</v>
      </c>
      <c r="C48" s="409">
        <v>0.25</v>
      </c>
      <c r="D48" s="410">
        <v>0.41666666666666669</v>
      </c>
      <c r="E48" s="410">
        <f>AVERAGE(C48:D48)</f>
        <v>0.33333333333333337</v>
      </c>
    </row>
    <row r="49" spans="2:6">
      <c r="B49" s="408" t="s">
        <v>500</v>
      </c>
      <c r="C49" s="409">
        <v>8.3000000000000004E-2</v>
      </c>
      <c r="D49" s="410">
        <v>0.25</v>
      </c>
      <c r="E49" s="410">
        <f>AVERAGE(C49:D49)</f>
        <v>0.16650000000000001</v>
      </c>
    </row>
    <row r="50" spans="2:6" ht="18.75">
      <c r="B50" s="947" t="s">
        <v>473</v>
      </c>
      <c r="C50" s="947"/>
      <c r="D50" s="947"/>
      <c r="E50" s="420">
        <f>E48-E49</f>
        <v>0.16683333333333336</v>
      </c>
    </row>
    <row r="51" spans="2:6">
      <c r="B51" s="830" t="s">
        <v>713</v>
      </c>
    </row>
    <row r="53" spans="2:6" s="414" customFormat="1" ht="31.5">
      <c r="B53" s="411" t="s">
        <v>501</v>
      </c>
      <c r="C53" s="412" t="s">
        <v>502</v>
      </c>
      <c r="D53" s="413" t="s">
        <v>503</v>
      </c>
      <c r="E53" s="413" t="s">
        <v>504</v>
      </c>
      <c r="F53" s="412" t="s">
        <v>474</v>
      </c>
    </row>
    <row r="54" spans="2:6">
      <c r="B54" s="406" t="s">
        <v>495</v>
      </c>
      <c r="C54" s="415" t="s">
        <v>505</v>
      </c>
      <c r="D54" s="416">
        <v>40</v>
      </c>
      <c r="E54" s="416">
        <v>4</v>
      </c>
      <c r="F54" s="416">
        <f>D54*365+E54*250</f>
        <v>15600</v>
      </c>
    </row>
    <row r="55" spans="2:6">
      <c r="B55" s="417" t="s">
        <v>476</v>
      </c>
      <c r="C55" s="415" t="s">
        <v>506</v>
      </c>
      <c r="D55" s="416">
        <v>16</v>
      </c>
      <c r="E55" s="416">
        <v>0</v>
      </c>
      <c r="F55" s="416">
        <f>D55*365+E55</f>
        <v>5840</v>
      </c>
    </row>
    <row r="56" spans="2:6">
      <c r="B56" s="418" t="s">
        <v>477</v>
      </c>
      <c r="C56" s="415" t="s">
        <v>507</v>
      </c>
      <c r="D56" s="416">
        <v>16</v>
      </c>
      <c r="E56" s="416">
        <v>0</v>
      </c>
      <c r="F56" s="416">
        <f>D56*365+E56</f>
        <v>5840</v>
      </c>
    </row>
    <row r="59" spans="2:6" ht="64.5">
      <c r="B59" s="424" t="s">
        <v>508</v>
      </c>
      <c r="C59" s="407" t="s">
        <v>502</v>
      </c>
      <c r="D59" s="423" t="s">
        <v>509</v>
      </c>
      <c r="E59" s="423" t="s">
        <v>510</v>
      </c>
      <c r="F59" s="423" t="s">
        <v>511</v>
      </c>
    </row>
    <row r="60" spans="2:6">
      <c r="B60" s="406" t="s">
        <v>495</v>
      </c>
      <c r="C60" s="415" t="str">
        <f>C54</f>
        <v>Ex</v>
      </c>
      <c r="D60" s="416">
        <v>26</v>
      </c>
      <c r="E60" s="416">
        <v>0</v>
      </c>
      <c r="F60" s="416">
        <f>D60*365+E60*250</f>
        <v>9490</v>
      </c>
    </row>
    <row r="61" spans="2:6">
      <c r="B61" s="417" t="s">
        <v>476</v>
      </c>
      <c r="C61" s="415" t="str">
        <f t="shared" ref="C61:C62" si="17">C55</f>
        <v>EC</v>
      </c>
      <c r="D61" s="416">
        <v>0</v>
      </c>
      <c r="E61" s="416">
        <v>0</v>
      </c>
      <c r="F61" s="416">
        <f>D61*365+E61</f>
        <v>0</v>
      </c>
    </row>
    <row r="62" spans="2:6">
      <c r="B62" s="418" t="s">
        <v>477</v>
      </c>
      <c r="C62" s="415" t="str">
        <f t="shared" si="17"/>
        <v>RJ</v>
      </c>
      <c r="D62" s="416">
        <v>0</v>
      </c>
      <c r="E62" s="416">
        <v>0</v>
      </c>
      <c r="F62" s="416">
        <f>D62*365+E62</f>
        <v>0</v>
      </c>
    </row>
    <row r="64" spans="2:6" ht="64.5">
      <c r="B64" s="421" t="s">
        <v>512</v>
      </c>
      <c r="C64" s="422" t="s">
        <v>502</v>
      </c>
      <c r="D64" s="423" t="s">
        <v>509</v>
      </c>
      <c r="E64" s="423" t="s">
        <v>510</v>
      </c>
      <c r="F64" s="423" t="s">
        <v>511</v>
      </c>
    </row>
    <row r="65" spans="2:6">
      <c r="B65" s="406" t="s">
        <v>495</v>
      </c>
      <c r="C65" s="419" t="str">
        <f>C54</f>
        <v>Ex</v>
      </c>
      <c r="D65" s="416">
        <v>26</v>
      </c>
      <c r="E65" s="416">
        <v>0</v>
      </c>
      <c r="F65" s="416">
        <f>D65*365+E65*250</f>
        <v>9490</v>
      </c>
    </row>
    <row r="66" spans="2:6">
      <c r="B66" s="417" t="s">
        <v>476</v>
      </c>
      <c r="C66" s="419" t="str">
        <f t="shared" ref="C66:C67" si="18">C55</f>
        <v>EC</v>
      </c>
      <c r="D66" s="416">
        <v>0</v>
      </c>
      <c r="E66" s="416">
        <v>0</v>
      </c>
      <c r="F66" s="416">
        <f>D66*365+E66</f>
        <v>0</v>
      </c>
    </row>
    <row r="67" spans="2:6">
      <c r="B67" s="418" t="s">
        <v>477</v>
      </c>
      <c r="C67" s="419" t="str">
        <f t="shared" si="18"/>
        <v>RJ</v>
      </c>
      <c r="D67" s="416">
        <v>0</v>
      </c>
      <c r="E67" s="416">
        <v>0</v>
      </c>
      <c r="F67" s="416">
        <f>D67*365+E67</f>
        <v>0</v>
      </c>
    </row>
  </sheetData>
  <sheetProtection algorithmName="SHA-512" hashValue="q33n7nixlTpWYAIalQlMKSwfLhDoPlHnYPbZ0mppthENqbT4kqg7W6kR2NAndg+lc4fUSDNaTPWLWM+KV0sm2A==" saltValue="qWqQp2QzG6fx1fPCDM1Tjw==" spinCount="100000" sheet="1" objects="1" scenarios="1"/>
  <mergeCells count="9">
    <mergeCell ref="B23:D23"/>
    <mergeCell ref="B24:D24"/>
    <mergeCell ref="B50:D50"/>
    <mergeCell ref="B1:F1"/>
    <mergeCell ref="C4:F4"/>
    <mergeCell ref="E5:F5"/>
    <mergeCell ref="C6:F6"/>
    <mergeCell ref="C7:F7"/>
    <mergeCell ref="B22:D22"/>
  </mergeCells>
  <conditionalFormatting sqref="G22:AJ24">
    <cfRule type="cellIs" dxfId="13" priority="1" operator="between">
      <formula>0.01</formula>
      <formula>0.99</formula>
    </cfRule>
    <cfRule type="cellIs" dxfId="12" priority="2" operator="equal">
      <formula>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2:AG9"/>
  <sheetViews>
    <sheetView zoomScaleNormal="100" workbookViewId="0">
      <selection activeCell="B32" sqref="B32"/>
    </sheetView>
  </sheetViews>
  <sheetFormatPr defaultColWidth="9.140625" defaultRowHeight="11.25"/>
  <cols>
    <col min="1" max="1" width="2.140625" style="26" customWidth="1"/>
    <col min="2" max="2" width="50.42578125" style="26" customWidth="1"/>
    <col min="3" max="16384" width="9.140625" style="26"/>
  </cols>
  <sheetData>
    <row r="2" spans="2:33">
      <c r="B2" s="3"/>
      <c r="C2" s="3"/>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c r="C3" s="4"/>
      <c r="D3" s="3">
        <v>1</v>
      </c>
      <c r="E3" s="3">
        <v>2</v>
      </c>
      <c r="F3" s="3">
        <v>3</v>
      </c>
      <c r="G3" s="3">
        <v>4</v>
      </c>
      <c r="H3" s="3">
        <v>5</v>
      </c>
      <c r="I3" s="3">
        <v>6</v>
      </c>
      <c r="J3" s="3">
        <v>7</v>
      </c>
      <c r="K3" s="3">
        <v>8</v>
      </c>
      <c r="L3" s="3">
        <v>9</v>
      </c>
      <c r="M3" s="3">
        <v>10</v>
      </c>
      <c r="N3" s="3">
        <v>11</v>
      </c>
      <c r="O3" s="3">
        <v>12</v>
      </c>
      <c r="P3" s="3">
        <v>13</v>
      </c>
      <c r="Q3" s="3">
        <v>14</v>
      </c>
      <c r="R3" s="3">
        <v>15</v>
      </c>
      <c r="S3" s="3">
        <v>16</v>
      </c>
      <c r="T3" s="3">
        <v>17</v>
      </c>
      <c r="U3" s="3">
        <v>18</v>
      </c>
      <c r="V3" s="3">
        <v>19</v>
      </c>
      <c r="W3" s="3">
        <v>20</v>
      </c>
      <c r="X3" s="3">
        <v>21</v>
      </c>
      <c r="Y3" s="3">
        <v>22</v>
      </c>
      <c r="Z3" s="3">
        <v>23</v>
      </c>
      <c r="AA3" s="3">
        <v>24</v>
      </c>
      <c r="AB3" s="3">
        <v>25</v>
      </c>
      <c r="AC3" s="3">
        <v>26</v>
      </c>
      <c r="AD3" s="3">
        <v>27</v>
      </c>
      <c r="AE3" s="3">
        <v>28</v>
      </c>
      <c r="AF3" s="3">
        <v>29</v>
      </c>
      <c r="AG3" s="3">
        <v>30</v>
      </c>
    </row>
    <row r="4" spans="2:33">
      <c r="B4" s="6" t="s">
        <v>472</v>
      </c>
      <c r="C4" s="6" t="s">
        <v>9</v>
      </c>
      <c r="D4" s="17">
        <f>Parametre!C13</f>
        <v>2023</v>
      </c>
      <c r="E4" s="17">
        <f>$D$4+D3</f>
        <v>2024</v>
      </c>
      <c r="F4" s="17">
        <f>$D$4+E3</f>
        <v>2025</v>
      </c>
      <c r="G4" s="17">
        <f t="shared" ref="G4:AG4" si="0">$D$4+F3</f>
        <v>2026</v>
      </c>
      <c r="H4" s="17">
        <f t="shared" si="0"/>
        <v>2027</v>
      </c>
      <c r="I4" s="17">
        <f t="shared" si="0"/>
        <v>2028</v>
      </c>
      <c r="J4" s="17">
        <f t="shared" si="0"/>
        <v>2029</v>
      </c>
      <c r="K4" s="17">
        <f t="shared" si="0"/>
        <v>2030</v>
      </c>
      <c r="L4" s="17">
        <f t="shared" si="0"/>
        <v>2031</v>
      </c>
      <c r="M4" s="17">
        <f t="shared" si="0"/>
        <v>2032</v>
      </c>
      <c r="N4" s="17">
        <f t="shared" si="0"/>
        <v>2033</v>
      </c>
      <c r="O4" s="17">
        <f t="shared" si="0"/>
        <v>2034</v>
      </c>
      <c r="P4" s="17">
        <f t="shared" si="0"/>
        <v>2035</v>
      </c>
      <c r="Q4" s="17">
        <f t="shared" si="0"/>
        <v>2036</v>
      </c>
      <c r="R4" s="17">
        <f t="shared" si="0"/>
        <v>2037</v>
      </c>
      <c r="S4" s="17">
        <f t="shared" si="0"/>
        <v>2038</v>
      </c>
      <c r="T4" s="17">
        <f t="shared" si="0"/>
        <v>2039</v>
      </c>
      <c r="U4" s="17">
        <f t="shared" si="0"/>
        <v>2040</v>
      </c>
      <c r="V4" s="17">
        <f t="shared" si="0"/>
        <v>2041</v>
      </c>
      <c r="W4" s="17">
        <f t="shared" si="0"/>
        <v>2042</v>
      </c>
      <c r="X4" s="17">
        <f t="shared" si="0"/>
        <v>2043</v>
      </c>
      <c r="Y4" s="17">
        <f t="shared" si="0"/>
        <v>2044</v>
      </c>
      <c r="Z4" s="17">
        <f t="shared" si="0"/>
        <v>2045</v>
      </c>
      <c r="AA4" s="17">
        <f t="shared" si="0"/>
        <v>2046</v>
      </c>
      <c r="AB4" s="17">
        <f t="shared" si="0"/>
        <v>2047</v>
      </c>
      <c r="AC4" s="17">
        <f t="shared" si="0"/>
        <v>2048</v>
      </c>
      <c r="AD4" s="17">
        <f t="shared" si="0"/>
        <v>2049</v>
      </c>
      <c r="AE4" s="17">
        <f t="shared" si="0"/>
        <v>2050</v>
      </c>
      <c r="AF4" s="17">
        <f t="shared" si="0"/>
        <v>2051</v>
      </c>
      <c r="AG4" s="17">
        <f t="shared" si="0"/>
        <v>2052</v>
      </c>
    </row>
    <row r="5" spans="2:33" ht="12" thickBot="1">
      <c r="B5" s="22" t="s">
        <v>471</v>
      </c>
      <c r="C5" s="131">
        <f>SUM(D5:AG5)</f>
        <v>40372.832500000011</v>
      </c>
      <c r="D5" s="131">
        <f>'Úspora času prípr. vlak - nákup'!G4</f>
        <v>0</v>
      </c>
      <c r="E5" s="131">
        <f>'Úspora času prípr. vlak - nákup'!H4</f>
        <v>0</v>
      </c>
      <c r="F5" s="131">
        <f>'Úspora času prípr. vlak - nákup'!I4</f>
        <v>0</v>
      </c>
      <c r="G5" s="131">
        <f>'Úspora času prípr. vlak - nákup'!J4</f>
        <v>0</v>
      </c>
      <c r="H5" s="131">
        <f>'Úspora času prípr. vlak - nákup'!K4</f>
        <v>791.62416666666672</v>
      </c>
      <c r="I5" s="131">
        <f>'Úspora času prípr. vlak - nákup'!L4</f>
        <v>1583.2483333333334</v>
      </c>
      <c r="J5" s="131">
        <f>'Úspora času prípr. vlak - nákup'!M4</f>
        <v>1583.2483333333334</v>
      </c>
      <c r="K5" s="131">
        <f>'Úspora času prípr. vlak - nákup'!N4</f>
        <v>1583.2483333333334</v>
      </c>
      <c r="L5" s="131">
        <f>'Úspora času prípr. vlak - nákup'!O4</f>
        <v>1583.2483333333334</v>
      </c>
      <c r="M5" s="131">
        <f>'Úspora času prípr. vlak - nákup'!P4</f>
        <v>1583.2483333333334</v>
      </c>
      <c r="N5" s="131">
        <f>'Úspora času prípr. vlak - nákup'!Q4</f>
        <v>1583.2483333333334</v>
      </c>
      <c r="O5" s="131">
        <f>'Úspora času prípr. vlak - nákup'!R4</f>
        <v>1583.2483333333334</v>
      </c>
      <c r="P5" s="131">
        <f>'Úspora času prípr. vlak - nákup'!S4</f>
        <v>1583.2483333333334</v>
      </c>
      <c r="Q5" s="131">
        <f>'Úspora času prípr. vlak - nákup'!T4</f>
        <v>1583.2483333333334</v>
      </c>
      <c r="R5" s="131">
        <f>'Úspora času prípr. vlak - nákup'!U4</f>
        <v>1583.2483333333334</v>
      </c>
      <c r="S5" s="131">
        <f>'Úspora času prípr. vlak - nákup'!V4</f>
        <v>1583.2483333333334</v>
      </c>
      <c r="T5" s="131">
        <f>'Úspora času prípr. vlak - nákup'!W4</f>
        <v>1583.2483333333334</v>
      </c>
      <c r="U5" s="131">
        <f>'Úspora času prípr. vlak - nákup'!X4</f>
        <v>1583.2483333333334</v>
      </c>
      <c r="V5" s="131">
        <f>'Úspora času prípr. vlak - nákup'!Y4</f>
        <v>1583.2483333333334</v>
      </c>
      <c r="W5" s="131">
        <f>'Úspora času prípr. vlak - nákup'!Z4</f>
        <v>1583.2483333333334</v>
      </c>
      <c r="X5" s="131">
        <f>'Úspora času prípr. vlak - nákup'!AA4</f>
        <v>1583.2483333333334</v>
      </c>
      <c r="Y5" s="131">
        <f>'Úspora času prípr. vlak - nákup'!AB4</f>
        <v>1583.2483333333334</v>
      </c>
      <c r="Z5" s="131">
        <f>'Úspora času prípr. vlak - nákup'!AC4</f>
        <v>1583.2483333333334</v>
      </c>
      <c r="AA5" s="131">
        <f>'Úspora času prípr. vlak - nákup'!AD4</f>
        <v>1583.2483333333334</v>
      </c>
      <c r="AB5" s="131">
        <f>'Úspora času prípr. vlak - nákup'!AE4</f>
        <v>1583.2483333333334</v>
      </c>
      <c r="AC5" s="131">
        <f>'Úspora času prípr. vlak - nákup'!AF4</f>
        <v>1583.2483333333334</v>
      </c>
      <c r="AD5" s="131">
        <f>'Úspora času prípr. vlak - nákup'!AG4</f>
        <v>1583.2483333333334</v>
      </c>
      <c r="AE5" s="131">
        <f>'Úspora času prípr. vlak - nákup'!AH4</f>
        <v>1583.2483333333334</v>
      </c>
      <c r="AF5" s="131">
        <f>'Úspora času prípr. vlak - nákup'!AI4</f>
        <v>1583.2483333333334</v>
      </c>
      <c r="AG5" s="131">
        <f>'Úspora času prípr. vlak - nákup'!AJ4</f>
        <v>1583.2483333333334</v>
      </c>
    </row>
    <row r="6" spans="2:33" ht="12" thickTop="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spans="2:33">
      <c r="B7" s="12" t="s">
        <v>693</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spans="2:33">
      <c r="B8" s="425" t="s">
        <v>693</v>
      </c>
      <c r="C8" s="130">
        <f>SUM(D8:AG8)</f>
        <v>4112922.9044481702</v>
      </c>
      <c r="D8" s="130">
        <f>D5*Parametre!$F$55</f>
        <v>0</v>
      </c>
      <c r="E8" s="130">
        <f>E5*Parametre!$F$55</f>
        <v>0</v>
      </c>
      <c r="F8" s="130">
        <f>F5*Parametre!$F$55</f>
        <v>0</v>
      </c>
      <c r="G8" s="130">
        <f>G5*Parametre!$F$55</f>
        <v>0</v>
      </c>
      <c r="H8" s="130">
        <f>H5*Parametre!$F$55</f>
        <v>80645.547146042518</v>
      </c>
      <c r="I8" s="130">
        <f>I5*Parametre!$F$55</f>
        <v>161291.09429208504</v>
      </c>
      <c r="J8" s="130">
        <f>J5*Parametre!$F$55</f>
        <v>161291.09429208504</v>
      </c>
      <c r="K8" s="130">
        <f>K5*Parametre!$F$55</f>
        <v>161291.09429208504</v>
      </c>
      <c r="L8" s="130">
        <f>L5*Parametre!$F$55</f>
        <v>161291.09429208504</v>
      </c>
      <c r="M8" s="130">
        <f>M5*Parametre!$F$55</f>
        <v>161291.09429208504</v>
      </c>
      <c r="N8" s="130">
        <f>N5*Parametre!$F$55</f>
        <v>161291.09429208504</v>
      </c>
      <c r="O8" s="130">
        <f>O5*Parametre!$F$55</f>
        <v>161291.09429208504</v>
      </c>
      <c r="P8" s="130">
        <f>P5*Parametre!$F$55</f>
        <v>161291.09429208504</v>
      </c>
      <c r="Q8" s="130">
        <f>Q5*Parametre!$F$55</f>
        <v>161291.09429208504</v>
      </c>
      <c r="R8" s="130">
        <f>R5*Parametre!$F$55</f>
        <v>161291.09429208504</v>
      </c>
      <c r="S8" s="130">
        <f>S5*Parametre!$F$55</f>
        <v>161291.09429208504</v>
      </c>
      <c r="T8" s="130">
        <f>T5*Parametre!$F$55</f>
        <v>161291.09429208504</v>
      </c>
      <c r="U8" s="130">
        <f>U5*Parametre!$F$55</f>
        <v>161291.09429208504</v>
      </c>
      <c r="V8" s="130">
        <f>V5*Parametre!$F$55</f>
        <v>161291.09429208504</v>
      </c>
      <c r="W8" s="130">
        <f>W5*Parametre!$F$55</f>
        <v>161291.09429208504</v>
      </c>
      <c r="X8" s="130">
        <f>X5*Parametre!$F$55</f>
        <v>161291.09429208504</v>
      </c>
      <c r="Y8" s="130">
        <f>Y5*Parametre!$F$55</f>
        <v>161291.09429208504</v>
      </c>
      <c r="Z8" s="130">
        <f>Z5*Parametre!$F$55</f>
        <v>161291.09429208504</v>
      </c>
      <c r="AA8" s="130">
        <f>AA5*Parametre!$F$55</f>
        <v>161291.09429208504</v>
      </c>
      <c r="AB8" s="130">
        <f>AB5*Parametre!$F$55</f>
        <v>161291.09429208504</v>
      </c>
      <c r="AC8" s="130">
        <f>AC5*Parametre!$F$55</f>
        <v>161291.09429208504</v>
      </c>
      <c r="AD8" s="130">
        <f>AD5*Parametre!$F$55</f>
        <v>161291.09429208504</v>
      </c>
      <c r="AE8" s="130">
        <f>AE5*Parametre!$F$55</f>
        <v>161291.09429208504</v>
      </c>
      <c r="AF8" s="130">
        <f>AF5*Parametre!$F$55</f>
        <v>161291.09429208504</v>
      </c>
      <c r="AG8" s="130">
        <f>AG5*Parametre!$F$55</f>
        <v>161291.09429208504</v>
      </c>
    </row>
    <row r="9" spans="2:33">
      <c r="B9" s="177" t="s">
        <v>694</v>
      </c>
      <c r="C9" s="178">
        <f>SUM(D9:AG9)</f>
        <v>4112922.9044481702</v>
      </c>
      <c r="D9" s="179">
        <f t="shared" ref="D9:AG9" si="1">SUM(D8:D8)</f>
        <v>0</v>
      </c>
      <c r="E9" s="178">
        <f t="shared" si="1"/>
        <v>0</v>
      </c>
      <c r="F9" s="178">
        <f t="shared" si="1"/>
        <v>0</v>
      </c>
      <c r="G9" s="178">
        <f t="shared" si="1"/>
        <v>0</v>
      </c>
      <c r="H9" s="178">
        <f t="shared" si="1"/>
        <v>80645.547146042518</v>
      </c>
      <c r="I9" s="178">
        <f t="shared" si="1"/>
        <v>161291.09429208504</v>
      </c>
      <c r="J9" s="178">
        <f t="shared" si="1"/>
        <v>161291.09429208504</v>
      </c>
      <c r="K9" s="178">
        <f t="shared" si="1"/>
        <v>161291.09429208504</v>
      </c>
      <c r="L9" s="178">
        <f t="shared" si="1"/>
        <v>161291.09429208504</v>
      </c>
      <c r="M9" s="178">
        <f t="shared" si="1"/>
        <v>161291.09429208504</v>
      </c>
      <c r="N9" s="178">
        <f t="shared" si="1"/>
        <v>161291.09429208504</v>
      </c>
      <c r="O9" s="178">
        <f t="shared" si="1"/>
        <v>161291.09429208504</v>
      </c>
      <c r="P9" s="178">
        <f t="shared" si="1"/>
        <v>161291.09429208504</v>
      </c>
      <c r="Q9" s="178">
        <f t="shared" si="1"/>
        <v>161291.09429208504</v>
      </c>
      <c r="R9" s="178">
        <f t="shared" si="1"/>
        <v>161291.09429208504</v>
      </c>
      <c r="S9" s="178">
        <f t="shared" si="1"/>
        <v>161291.09429208504</v>
      </c>
      <c r="T9" s="178">
        <f t="shared" si="1"/>
        <v>161291.09429208504</v>
      </c>
      <c r="U9" s="178">
        <f t="shared" si="1"/>
        <v>161291.09429208504</v>
      </c>
      <c r="V9" s="178">
        <f t="shared" si="1"/>
        <v>161291.09429208504</v>
      </c>
      <c r="W9" s="178">
        <f t="shared" si="1"/>
        <v>161291.09429208504</v>
      </c>
      <c r="X9" s="178">
        <f t="shared" si="1"/>
        <v>161291.09429208504</v>
      </c>
      <c r="Y9" s="178">
        <f t="shared" si="1"/>
        <v>161291.09429208504</v>
      </c>
      <c r="Z9" s="178">
        <f t="shared" si="1"/>
        <v>161291.09429208504</v>
      </c>
      <c r="AA9" s="178">
        <f t="shared" si="1"/>
        <v>161291.09429208504</v>
      </c>
      <c r="AB9" s="178">
        <f t="shared" si="1"/>
        <v>161291.09429208504</v>
      </c>
      <c r="AC9" s="178">
        <f t="shared" si="1"/>
        <v>161291.09429208504</v>
      </c>
      <c r="AD9" s="178">
        <f t="shared" si="1"/>
        <v>161291.09429208504</v>
      </c>
      <c r="AE9" s="178">
        <f t="shared" si="1"/>
        <v>161291.09429208504</v>
      </c>
      <c r="AF9" s="178">
        <f t="shared" si="1"/>
        <v>161291.09429208504</v>
      </c>
      <c r="AG9" s="178">
        <f t="shared" si="1"/>
        <v>161291.09429208504</v>
      </c>
    </row>
  </sheetData>
  <sheetProtection algorithmName="SHA-512" hashValue="wKGk+gSHwXEcVBmuCzUQpUsIhdrtacQ+Bfu5P5Pdc3gCT8gcDKdxlWHvTb5hJ3nroEoOu8Y/BA1LD+etmoFJyA==" saltValue="gjbTNE56l8DR+M8VioPVHg==" spinCount="100000" sheet="1" objects="1" scenarios="1"/>
  <pageMargins left="0.19687499999999999" right="0.19687499999999999" top="1" bottom="0.79479166666666667" header="0.5" footer="0.5"/>
  <pageSetup paperSize="9" scale="75" orientation="landscape" r:id="rId1"/>
  <headerFooter alignWithMargins="0">
    <oddHeader>&amp;LPríloha 7: Štandardné tabuľky - Cesty
&amp;"Arial,Tučné"&amp;12 10 Náklady na emisie</oddHeader>
    <oddFooter>Strana &amp;P z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B2:AG15"/>
  <sheetViews>
    <sheetView zoomScaleNormal="100" workbookViewId="0">
      <selection activeCell="C19" sqref="C19"/>
    </sheetView>
  </sheetViews>
  <sheetFormatPr defaultColWidth="9.140625" defaultRowHeight="11.25"/>
  <cols>
    <col min="1" max="1" width="2.7109375" style="26" customWidth="1"/>
    <col min="2" max="2" width="46.85546875" style="26" bestFit="1" customWidth="1"/>
    <col min="3" max="3" width="14.28515625" style="26" customWidth="1"/>
    <col min="4" max="33" width="11" style="26" customWidth="1"/>
    <col min="34" max="34" width="5" style="26" bestFit="1" customWidth="1"/>
    <col min="35" max="16384" width="9.140625" style="26"/>
  </cols>
  <sheetData>
    <row r="2" spans="2:33">
      <c r="B2" s="32" t="s">
        <v>695</v>
      </c>
      <c r="C2" s="32"/>
      <c r="D2" s="27" t="s">
        <v>10</v>
      </c>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row>
    <row r="3" spans="2:33">
      <c r="B3" s="28"/>
      <c r="C3" s="28"/>
      <c r="D3" s="29">
        <v>1</v>
      </c>
      <c r="E3" s="29">
        <v>2</v>
      </c>
      <c r="F3" s="29">
        <v>3</v>
      </c>
      <c r="G3" s="29">
        <v>4</v>
      </c>
      <c r="H3" s="29">
        <v>5</v>
      </c>
      <c r="I3" s="29">
        <v>6</v>
      </c>
      <c r="J3" s="29">
        <v>7</v>
      </c>
      <c r="K3" s="29">
        <v>8</v>
      </c>
      <c r="L3" s="29">
        <v>9</v>
      </c>
      <c r="M3" s="29">
        <v>10</v>
      </c>
      <c r="N3" s="29">
        <v>11</v>
      </c>
      <c r="O3" s="29">
        <v>12</v>
      </c>
      <c r="P3" s="29">
        <v>13</v>
      </c>
      <c r="Q3" s="29">
        <v>14</v>
      </c>
      <c r="R3" s="29">
        <v>15</v>
      </c>
      <c r="S3" s="29">
        <v>16</v>
      </c>
      <c r="T3" s="29">
        <v>17</v>
      </c>
      <c r="U3" s="29">
        <v>18</v>
      </c>
      <c r="V3" s="29">
        <v>19</v>
      </c>
      <c r="W3" s="29">
        <v>20</v>
      </c>
      <c r="X3" s="29">
        <v>21</v>
      </c>
      <c r="Y3" s="29">
        <v>22</v>
      </c>
      <c r="Z3" s="29">
        <v>23</v>
      </c>
      <c r="AA3" s="29">
        <v>24</v>
      </c>
      <c r="AB3" s="29">
        <v>25</v>
      </c>
      <c r="AC3" s="29">
        <v>26</v>
      </c>
      <c r="AD3" s="29">
        <v>27</v>
      </c>
      <c r="AE3" s="29">
        <v>28</v>
      </c>
      <c r="AF3" s="29">
        <v>29</v>
      </c>
      <c r="AG3" s="29">
        <v>30</v>
      </c>
    </row>
    <row r="4" spans="2:33" ht="22.5">
      <c r="B4" s="30" t="s">
        <v>37</v>
      </c>
      <c r="C4" s="34" t="s">
        <v>34</v>
      </c>
      <c r="D4" s="31">
        <f>Parametre!C13</f>
        <v>2023</v>
      </c>
      <c r="E4" s="31">
        <f>$D$4+D3</f>
        <v>2024</v>
      </c>
      <c r="F4" s="31">
        <f>$D$4+E3</f>
        <v>2025</v>
      </c>
      <c r="G4" s="31">
        <f t="shared" ref="G4:AF4" si="0">$D$4+F3</f>
        <v>2026</v>
      </c>
      <c r="H4" s="31">
        <f t="shared" si="0"/>
        <v>2027</v>
      </c>
      <c r="I4" s="31">
        <f t="shared" si="0"/>
        <v>2028</v>
      </c>
      <c r="J4" s="31">
        <f t="shared" si="0"/>
        <v>2029</v>
      </c>
      <c r="K4" s="31">
        <f t="shared" si="0"/>
        <v>2030</v>
      </c>
      <c r="L4" s="31">
        <f t="shared" si="0"/>
        <v>2031</v>
      </c>
      <c r="M4" s="31">
        <f t="shared" si="0"/>
        <v>2032</v>
      </c>
      <c r="N4" s="31">
        <f t="shared" si="0"/>
        <v>2033</v>
      </c>
      <c r="O4" s="31">
        <f t="shared" si="0"/>
        <v>2034</v>
      </c>
      <c r="P4" s="31">
        <f t="shared" si="0"/>
        <v>2035</v>
      </c>
      <c r="Q4" s="31">
        <f t="shared" si="0"/>
        <v>2036</v>
      </c>
      <c r="R4" s="31">
        <f t="shared" si="0"/>
        <v>2037</v>
      </c>
      <c r="S4" s="31">
        <f t="shared" si="0"/>
        <v>2038</v>
      </c>
      <c r="T4" s="31">
        <f t="shared" si="0"/>
        <v>2039</v>
      </c>
      <c r="U4" s="31">
        <f t="shared" si="0"/>
        <v>2040</v>
      </c>
      <c r="V4" s="31">
        <f t="shared" si="0"/>
        <v>2041</v>
      </c>
      <c r="W4" s="31">
        <f t="shared" si="0"/>
        <v>2042</v>
      </c>
      <c r="X4" s="31">
        <f t="shared" si="0"/>
        <v>2043</v>
      </c>
      <c r="Y4" s="31">
        <f t="shared" si="0"/>
        <v>2044</v>
      </c>
      <c r="Z4" s="31">
        <f t="shared" si="0"/>
        <v>2045</v>
      </c>
      <c r="AA4" s="31">
        <f t="shared" si="0"/>
        <v>2046</v>
      </c>
      <c r="AB4" s="31">
        <f t="shared" si="0"/>
        <v>2047</v>
      </c>
      <c r="AC4" s="31">
        <f t="shared" si="0"/>
        <v>2048</v>
      </c>
      <c r="AD4" s="31">
        <f t="shared" si="0"/>
        <v>2049</v>
      </c>
      <c r="AE4" s="31">
        <f t="shared" si="0"/>
        <v>2050</v>
      </c>
      <c r="AF4" s="31">
        <f t="shared" si="0"/>
        <v>2051</v>
      </c>
      <c r="AG4" s="31">
        <f t="shared" ref="AG4" si="1">$D$4+AF3</f>
        <v>2052</v>
      </c>
    </row>
    <row r="5" spans="2:33">
      <c r="B5" s="27" t="s">
        <v>13</v>
      </c>
      <c r="C5" s="33">
        <f>D5+NPV(Parametre!$C$10,E5:AG5)</f>
        <v>-292637818.89821041</v>
      </c>
      <c r="D5" s="33">
        <f>-'01 Investičné výdavky - nákup'!D29</f>
        <v>0</v>
      </c>
      <c r="E5" s="33">
        <f>-'01 Investičné výdavky - nákup'!E29</f>
        <v>0</v>
      </c>
      <c r="F5" s="33">
        <f>-'01 Investičné výdavky - nákup'!F29</f>
        <v>-9342000</v>
      </c>
      <c r="G5" s="33">
        <f>-'01 Investičné výdavky - nákup'!G29</f>
        <v>-37368000</v>
      </c>
      <c r="H5" s="33">
        <f>-'01 Investičné výdavky - nákup'!H29</f>
        <v>-168210000</v>
      </c>
      <c r="I5" s="33">
        <f>-'01 Investičné výdavky - nákup'!I29</f>
        <v>-144855000</v>
      </c>
      <c r="J5" s="33">
        <f>-'01 Investičné výdavky - nákup'!J29</f>
        <v>0</v>
      </c>
      <c r="K5" s="33">
        <f>-'01 Investičné výdavky - nákup'!K29</f>
        <v>0</v>
      </c>
      <c r="L5" s="33">
        <f>-'01 Investičné výdavky - nákup'!L29</f>
        <v>0</v>
      </c>
      <c r="M5" s="33">
        <f>-'01 Investičné výdavky - nákup'!M29</f>
        <v>0</v>
      </c>
      <c r="N5" s="33">
        <f>-'01 Investičné výdavky - nákup'!N29</f>
        <v>0</v>
      </c>
      <c r="O5" s="33">
        <f>-'01 Investičné výdavky - nákup'!O29</f>
        <v>0</v>
      </c>
      <c r="P5" s="33">
        <f>-'01 Investičné výdavky - nákup'!P29</f>
        <v>0</v>
      </c>
      <c r="Q5" s="33">
        <f>-'01 Investičné výdavky - nákup'!Q29</f>
        <v>0</v>
      </c>
      <c r="R5" s="33">
        <f>-'01 Investičné výdavky - nákup'!R29</f>
        <v>0</v>
      </c>
      <c r="S5" s="33">
        <f>-'01 Investičné výdavky - nákup'!S29</f>
        <v>0</v>
      </c>
      <c r="T5" s="33">
        <f>-'01 Investičné výdavky - nákup'!T29</f>
        <v>0</v>
      </c>
      <c r="U5" s="33">
        <f>-'01 Investičné výdavky - nákup'!U29</f>
        <v>0</v>
      </c>
      <c r="V5" s="33">
        <f>-'01 Investičné výdavky - nákup'!V29</f>
        <v>0</v>
      </c>
      <c r="W5" s="33">
        <f>-'01 Investičné výdavky - nákup'!W29</f>
        <v>0</v>
      </c>
      <c r="X5" s="33">
        <f>-'01 Investičné výdavky - nákup'!X29</f>
        <v>0</v>
      </c>
      <c r="Y5" s="33">
        <f>-'01 Investičné výdavky - nákup'!Y29</f>
        <v>0</v>
      </c>
      <c r="Z5" s="33">
        <f>-'01 Investičné výdavky - nákup'!Z29</f>
        <v>0</v>
      </c>
      <c r="AA5" s="33">
        <f>-'01 Investičné výdavky - nákup'!AA29</f>
        <v>0</v>
      </c>
      <c r="AB5" s="33">
        <f>-'01 Investičné výdavky - nákup'!AB29</f>
        <v>0</v>
      </c>
      <c r="AC5" s="33">
        <f>-'01 Investičné výdavky - nákup'!AC29</f>
        <v>0</v>
      </c>
      <c r="AD5" s="33">
        <f>-'01 Investičné výdavky - nákup'!AD29</f>
        <v>0</v>
      </c>
      <c r="AE5" s="33">
        <f>-'01 Investičné výdavky - nákup'!AE29</f>
        <v>0</v>
      </c>
      <c r="AF5" s="33">
        <f>-'01 Investičné výdavky - nákup'!AF29</f>
        <v>0</v>
      </c>
      <c r="AG5" s="33">
        <f>-'01 Investičné výdavky - nákup'!AG29</f>
        <v>0</v>
      </c>
    </row>
    <row r="6" spans="2:33">
      <c r="B6" s="27" t="s">
        <v>448</v>
      </c>
      <c r="C6" s="33">
        <f>D6+NPV(Parametre!$C$10,E6:AG6)</f>
        <v>344517576.2170065</v>
      </c>
      <c r="D6" s="33">
        <f>-'03 Prevádzkové výdavky nákup'!D43</f>
        <v>0</v>
      </c>
      <c r="E6" s="33">
        <f>-'03 Prevádzkové výdavky nákup'!E43</f>
        <v>0</v>
      </c>
      <c r="F6" s="33">
        <f>-'03 Prevádzkové výdavky nákup'!F43</f>
        <v>1371636</v>
      </c>
      <c r="G6" s="33">
        <f>-'03 Prevádzkové výdavky nákup'!G43</f>
        <v>59689332</v>
      </c>
      <c r="H6" s="33">
        <f>-'03 Prevádzkové výdavky nákup'!H43</f>
        <v>100511379</v>
      </c>
      <c r="I6" s="33">
        <f>-'03 Prevádzkové výdavky nákup'!I43</f>
        <v>103037364</v>
      </c>
      <c r="J6" s="33">
        <f>-'03 Prevádzkové výdavky nákup'!J43</f>
        <v>103037364</v>
      </c>
      <c r="K6" s="33">
        <f>-'03 Prevádzkové výdavky nákup'!K43</f>
        <v>2687364</v>
      </c>
      <c r="L6" s="33">
        <f>-'03 Prevádzkové výdavky nákup'!L43</f>
        <v>2687364</v>
      </c>
      <c r="M6" s="33">
        <f>-'03 Prevádzkové výdavky nákup'!M43</f>
        <v>2687364</v>
      </c>
      <c r="N6" s="33">
        <f>-'03 Prevádzkové výdavky nákup'!N43</f>
        <v>2687364</v>
      </c>
      <c r="O6" s="33">
        <f>-'03 Prevádzkové výdavky nákup'!O43</f>
        <v>2687364</v>
      </c>
      <c r="P6" s="33">
        <f>-'03 Prevádzkové výdavky nákup'!P43</f>
        <v>2687364</v>
      </c>
      <c r="Q6" s="33">
        <f>-'03 Prevádzkové výdavky nákup'!Q43</f>
        <v>2687364</v>
      </c>
      <c r="R6" s="33">
        <f>-'03 Prevádzkové výdavky nákup'!R43</f>
        <v>2687364</v>
      </c>
      <c r="S6" s="33">
        <f>-'03 Prevádzkové výdavky nákup'!S43</f>
        <v>2687364</v>
      </c>
      <c r="T6" s="33">
        <f>-'03 Prevádzkové výdavky nákup'!T43</f>
        <v>2687364</v>
      </c>
      <c r="U6" s="33">
        <f>-'03 Prevádzkové výdavky nákup'!U43</f>
        <v>2687364</v>
      </c>
      <c r="V6" s="33">
        <f>-'03 Prevádzkové výdavky nákup'!V43</f>
        <v>18887364</v>
      </c>
      <c r="W6" s="33">
        <f>-'03 Prevádzkové výdavky nákup'!W43</f>
        <v>23927364</v>
      </c>
      <c r="X6" s="33">
        <f>-'03 Prevádzkové výdavky nákup'!X43</f>
        <v>23927364</v>
      </c>
      <c r="Y6" s="33">
        <f>-'03 Prevádzkové výdavky nákup'!Y43</f>
        <v>23927364</v>
      </c>
      <c r="Z6" s="33">
        <f>-'03 Prevádzkové výdavky nákup'!Z43</f>
        <v>-2172636</v>
      </c>
      <c r="AA6" s="33">
        <f>-'03 Prevádzkové výdavky nákup'!AA43</f>
        <v>-2172636</v>
      </c>
      <c r="AB6" s="33">
        <f>-'03 Prevádzkové výdavky nákup'!AB43</f>
        <v>437364</v>
      </c>
      <c r="AC6" s="33">
        <f>-'03 Prevádzkové výdavky nákup'!AC43</f>
        <v>437364</v>
      </c>
      <c r="AD6" s="33">
        <f>-'03 Prevádzkové výdavky nákup'!AD43</f>
        <v>437364</v>
      </c>
      <c r="AE6" s="33">
        <f>-'03 Prevádzkové výdavky nákup'!AE43</f>
        <v>437364</v>
      </c>
      <c r="AF6" s="33">
        <f>-'03 Prevádzkové výdavky nákup'!AF43</f>
        <v>437364</v>
      </c>
      <c r="AG6" s="33">
        <f>-'03 Prevádzkové výdavky nákup'!AG43</f>
        <v>2687364</v>
      </c>
    </row>
    <row r="7" spans="2:33">
      <c r="B7" s="27" t="s">
        <v>256</v>
      </c>
      <c r="C7" s="33">
        <f>D7+NPV(Parametre!$C$10,E7:AG7)</f>
        <v>27919370.232565217</v>
      </c>
      <c r="D7" s="33">
        <f>'07 Čas cestujúcich - nákup'!D14</f>
        <v>0</v>
      </c>
      <c r="E7" s="33">
        <f>'07 Čas cestujúcich - nákup'!E14</f>
        <v>0</v>
      </c>
      <c r="F7" s="33">
        <f>'07 Čas cestujúcich - nákup'!F14</f>
        <v>0</v>
      </c>
      <c r="G7" s="33">
        <f>'07 Čas cestujúcich - nákup'!G14</f>
        <v>0</v>
      </c>
      <c r="H7" s="33">
        <f>'07 Čas cestujúcich - nákup'!H14</f>
        <v>1110384.085654438</v>
      </c>
      <c r="I7" s="33">
        <f>'07 Čas cestujúcich - nákup'!I14</f>
        <v>2239775.165256164</v>
      </c>
      <c r="J7" s="33">
        <f>'07 Čas cestujúcich - nákup'!J14</f>
        <v>2260408.8235233934</v>
      </c>
      <c r="K7" s="33">
        <f>'07 Čas cestujúcich - nákup'!K14</f>
        <v>2281273.7159573119</v>
      </c>
      <c r="L7" s="33">
        <f>'07 Čas cestujúcich - nákup'!L14</f>
        <v>2295362.0878743427</v>
      </c>
      <c r="M7" s="33">
        <f>'07 Čas cestujúcich - nákup'!M14</f>
        <v>2309039.8987904778</v>
      </c>
      <c r="N7" s="33">
        <f>'07 Čas cestujúcich - nákup'!N14</f>
        <v>2322388.289540058</v>
      </c>
      <c r="O7" s="33">
        <f>'07 Čas cestujúcich - nákup'!O14</f>
        <v>2335458.1532643759</v>
      </c>
      <c r="P7" s="33">
        <f>'07 Čas cestujúcich - nákup'!P14</f>
        <v>2348262.0876525999</v>
      </c>
      <c r="Q7" s="33">
        <f>'07 Čas cestujúcich - nákup'!Q14</f>
        <v>2359486.1456148457</v>
      </c>
      <c r="R7" s="33">
        <f>'07 Čas cestujúcich - nákup'!R14</f>
        <v>2369107.0937404521</v>
      </c>
      <c r="S7" s="33">
        <f>'07 Čas cestujúcich - nákup'!S14</f>
        <v>2377224.2457726616</v>
      </c>
      <c r="T7" s="33">
        <f>'07 Čas cestujúcich - nákup'!T14</f>
        <v>2383700.831587946</v>
      </c>
      <c r="U7" s="33">
        <f>'07 Čas cestujúcich - nákup'!U14</f>
        <v>2388523.3169233277</v>
      </c>
      <c r="V7" s="33">
        <f>'07 Čas cestujúcich - nákup'!V14</f>
        <v>2390013.0380708519</v>
      </c>
      <c r="W7" s="33">
        <f>'07 Čas cestujúcich - nákup'!W14</f>
        <v>2389229.1533115362</v>
      </c>
      <c r="X7" s="33">
        <f>'07 Čas cestujúcich - nákup'!X14</f>
        <v>2386172.6684514792</v>
      </c>
      <c r="Y7" s="33">
        <f>'07 Čas cestujúcich - nákup'!Y14</f>
        <v>2380851.0594603997</v>
      </c>
      <c r="Z7" s="33">
        <f>'07 Čas cestujúcich - nákup'!Z14</f>
        <v>2373278.2432147423</v>
      </c>
      <c r="AA7" s="33">
        <f>'07 Čas cestujúcich - nákup'!AA14</f>
        <v>2362519.9303684281</v>
      </c>
      <c r="AB7" s="33">
        <f>'07 Čas cestujúcich - nákup'!AB14</f>
        <v>2348616.2685513925</v>
      </c>
      <c r="AC7" s="33">
        <f>'07 Čas cestujúcich - nákup'!AC14</f>
        <v>2332389.7149761217</v>
      </c>
      <c r="AD7" s="33">
        <f>'07 Čas cestujúcich - nákup'!AD14</f>
        <v>2313114.2927520974</v>
      </c>
      <c r="AE7" s="33">
        <f>'07 Čas cestujúcich - nákup'!AE14</f>
        <v>2290864.3246555105</v>
      </c>
      <c r="AF7" s="33">
        <f>'07 Čas cestujúcich - nákup'!AF14</f>
        <v>2267308.8967291918</v>
      </c>
      <c r="AG7" s="33">
        <f>'07 Čas cestujúcich - nákup'!AG14</f>
        <v>2239705.2651859061</v>
      </c>
    </row>
    <row r="8" spans="2:33">
      <c r="B8" s="27" t="s">
        <v>470</v>
      </c>
      <c r="C8" s="33">
        <f>D8+NPV(Parametre!$C$10,E8:AG8)</f>
        <v>1936537.3802852808</v>
      </c>
      <c r="D8" s="33">
        <f>'08 Čas prípravy vlaku - nákup'!D9</f>
        <v>0</v>
      </c>
      <c r="E8" s="33">
        <f>'08 Čas prípravy vlaku - nákup'!E9</f>
        <v>0</v>
      </c>
      <c r="F8" s="33">
        <f>'08 Čas prípravy vlaku - nákup'!F9</f>
        <v>0</v>
      </c>
      <c r="G8" s="33">
        <f>'08 Čas prípravy vlaku - nákup'!G9</f>
        <v>0</v>
      </c>
      <c r="H8" s="33">
        <f>'08 Čas prípravy vlaku - nákup'!H9</f>
        <v>80645.547146042518</v>
      </c>
      <c r="I8" s="33">
        <f>'08 Čas prípravy vlaku - nákup'!I9</f>
        <v>161291.09429208504</v>
      </c>
      <c r="J8" s="33">
        <f>'08 Čas prípravy vlaku - nákup'!J9</f>
        <v>161291.09429208504</v>
      </c>
      <c r="K8" s="33">
        <f>'08 Čas prípravy vlaku - nákup'!K9</f>
        <v>161291.09429208504</v>
      </c>
      <c r="L8" s="33">
        <f>'08 Čas prípravy vlaku - nákup'!L9</f>
        <v>161291.09429208504</v>
      </c>
      <c r="M8" s="33">
        <f>'08 Čas prípravy vlaku - nákup'!M9</f>
        <v>161291.09429208504</v>
      </c>
      <c r="N8" s="33">
        <f>'08 Čas prípravy vlaku - nákup'!N9</f>
        <v>161291.09429208504</v>
      </c>
      <c r="O8" s="33">
        <f>'08 Čas prípravy vlaku - nákup'!O9</f>
        <v>161291.09429208504</v>
      </c>
      <c r="P8" s="33">
        <f>'08 Čas prípravy vlaku - nákup'!P9</f>
        <v>161291.09429208504</v>
      </c>
      <c r="Q8" s="33">
        <f>'08 Čas prípravy vlaku - nákup'!Q9</f>
        <v>161291.09429208504</v>
      </c>
      <c r="R8" s="33">
        <f>'08 Čas prípravy vlaku - nákup'!R9</f>
        <v>161291.09429208504</v>
      </c>
      <c r="S8" s="33">
        <f>'08 Čas prípravy vlaku - nákup'!S9</f>
        <v>161291.09429208504</v>
      </c>
      <c r="T8" s="33">
        <f>'08 Čas prípravy vlaku - nákup'!T9</f>
        <v>161291.09429208504</v>
      </c>
      <c r="U8" s="33">
        <f>'08 Čas prípravy vlaku - nákup'!U9</f>
        <v>161291.09429208504</v>
      </c>
      <c r="V8" s="33">
        <f>'08 Čas prípravy vlaku - nákup'!V9</f>
        <v>161291.09429208504</v>
      </c>
      <c r="W8" s="33">
        <f>'08 Čas prípravy vlaku - nákup'!W9</f>
        <v>161291.09429208504</v>
      </c>
      <c r="X8" s="33">
        <f>'08 Čas prípravy vlaku - nákup'!X9</f>
        <v>161291.09429208504</v>
      </c>
      <c r="Y8" s="33">
        <f>'08 Čas prípravy vlaku - nákup'!Y9</f>
        <v>161291.09429208504</v>
      </c>
      <c r="Z8" s="33">
        <f>'08 Čas prípravy vlaku - nákup'!Z9</f>
        <v>161291.09429208504</v>
      </c>
      <c r="AA8" s="33">
        <f>'08 Čas prípravy vlaku - nákup'!AA9</f>
        <v>161291.09429208504</v>
      </c>
      <c r="AB8" s="33">
        <f>'08 Čas prípravy vlaku - nákup'!AB9</f>
        <v>161291.09429208504</v>
      </c>
      <c r="AC8" s="33">
        <f>'08 Čas prípravy vlaku - nákup'!AC9</f>
        <v>161291.09429208504</v>
      </c>
      <c r="AD8" s="33">
        <f>'08 Čas prípravy vlaku - nákup'!AD9</f>
        <v>161291.09429208504</v>
      </c>
      <c r="AE8" s="33">
        <f>'08 Čas prípravy vlaku - nákup'!AE9</f>
        <v>161291.09429208504</v>
      </c>
      <c r="AF8" s="33">
        <f>'08 Čas prípravy vlaku - nákup'!AF9</f>
        <v>161291.09429208504</v>
      </c>
      <c r="AG8" s="33">
        <f>'08 Čas prípravy vlaku - nákup'!AG9</f>
        <v>161291.09429208504</v>
      </c>
    </row>
    <row r="9" spans="2:33">
      <c r="B9" s="27" t="s">
        <v>15</v>
      </c>
      <c r="C9" s="33">
        <f>D9+NPV(Parametre!$C$10,E9:AG9)</f>
        <v>33316613.804916881</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426">
        <f>'02 Zostatková hodnota - nákup'!I11</f>
        <v>137135700</v>
      </c>
    </row>
    <row r="10" spans="2:33">
      <c r="B10" s="173" t="s">
        <v>38</v>
      </c>
      <c r="C10" s="172">
        <f>D10+NPV(Parametre!$C$10,E10:AG10)</f>
        <v>115052278.73656352</v>
      </c>
      <c r="D10" s="172">
        <f t="shared" ref="D10:AG10" si="2">SUM(D5:D9)</f>
        <v>0</v>
      </c>
      <c r="E10" s="172">
        <f t="shared" si="2"/>
        <v>0</v>
      </c>
      <c r="F10" s="172">
        <f t="shared" si="2"/>
        <v>-7970364</v>
      </c>
      <c r="G10" s="172">
        <f t="shared" si="2"/>
        <v>22321332</v>
      </c>
      <c r="H10" s="172">
        <f t="shared" si="2"/>
        <v>-66507591.367199518</v>
      </c>
      <c r="I10" s="172">
        <f t="shared" si="2"/>
        <v>-39416569.740451753</v>
      </c>
      <c r="J10" s="172">
        <f t="shared" si="2"/>
        <v>105459063.91781548</v>
      </c>
      <c r="K10" s="172">
        <f t="shared" si="2"/>
        <v>5129928.8102493966</v>
      </c>
      <c r="L10" s="172">
        <f t="shared" si="2"/>
        <v>5144017.1821664274</v>
      </c>
      <c r="M10" s="172">
        <f t="shared" si="2"/>
        <v>5157694.9930825625</v>
      </c>
      <c r="N10" s="172">
        <f t="shared" si="2"/>
        <v>5171043.3838321427</v>
      </c>
      <c r="O10" s="172">
        <f t="shared" si="2"/>
        <v>5184113.2475564601</v>
      </c>
      <c r="P10" s="172">
        <f t="shared" si="2"/>
        <v>5196917.1819446841</v>
      </c>
      <c r="Q10" s="172">
        <f t="shared" si="2"/>
        <v>5208141.2399069304</v>
      </c>
      <c r="R10" s="172">
        <f t="shared" si="2"/>
        <v>5217762.1880325368</v>
      </c>
      <c r="S10" s="172">
        <f t="shared" si="2"/>
        <v>5225879.3400647463</v>
      </c>
      <c r="T10" s="172">
        <f t="shared" si="2"/>
        <v>5232355.9258800307</v>
      </c>
      <c r="U10" s="172">
        <f t="shared" si="2"/>
        <v>5237178.4112154124</v>
      </c>
      <c r="V10" s="172">
        <f t="shared" si="2"/>
        <v>21438668.132362936</v>
      </c>
      <c r="W10" s="172">
        <f t="shared" si="2"/>
        <v>26477884.247603621</v>
      </c>
      <c r="X10" s="172">
        <f t="shared" si="2"/>
        <v>26474827.762743566</v>
      </c>
      <c r="Y10" s="172">
        <f t="shared" si="2"/>
        <v>26469506.153752487</v>
      </c>
      <c r="Z10" s="172">
        <f t="shared" si="2"/>
        <v>361933.33750682732</v>
      </c>
      <c r="AA10" s="172">
        <f t="shared" si="2"/>
        <v>351175.02466051315</v>
      </c>
      <c r="AB10" s="172">
        <f t="shared" si="2"/>
        <v>2947271.3628434776</v>
      </c>
      <c r="AC10" s="172">
        <f t="shared" si="2"/>
        <v>2931044.8092682068</v>
      </c>
      <c r="AD10" s="172">
        <f t="shared" si="2"/>
        <v>2911769.3870441825</v>
      </c>
      <c r="AE10" s="172">
        <f t="shared" si="2"/>
        <v>2889519.4189475956</v>
      </c>
      <c r="AF10" s="172">
        <f t="shared" si="2"/>
        <v>2865963.9910212769</v>
      </c>
      <c r="AG10" s="172">
        <f t="shared" si="2"/>
        <v>142224060.359478</v>
      </c>
    </row>
    <row r="12" spans="2:33">
      <c r="B12" s="35" t="s">
        <v>39</v>
      </c>
      <c r="C12" s="174">
        <f>D10+NPV(0.05,E10:AG10)</f>
        <v>115052278.73656352</v>
      </c>
      <c r="D12" s="26" t="s">
        <v>0</v>
      </c>
    </row>
    <row r="13" spans="2:33">
      <c r="B13" s="35" t="s">
        <v>40</v>
      </c>
      <c r="C13" s="175">
        <f>IRR(D10:AG10,1)</f>
        <v>0.25465598359280639</v>
      </c>
    </row>
    <row r="14" spans="2:33">
      <c r="B14" s="35" t="s">
        <v>1</v>
      </c>
      <c r="C14" s="176">
        <f>ABS((C7+C8+C9)/(C5+C6))</f>
        <v>1.217671875941484</v>
      </c>
    </row>
    <row r="15" spans="2:33">
      <c r="B15" s="35" t="s">
        <v>449</v>
      </c>
      <c r="C15" s="176">
        <f>ABS((C6+C7+C8+C9)/(C5))</f>
        <v>1.3931558783814699</v>
      </c>
    </row>
  </sheetData>
  <sheetProtection algorithmName="SHA-512" hashValue="DyP14IzRPLpWKo38NTAGo+BahbjT7RI29tlY7CdvwX/kXjMd6Fp0/icrwQRv2euDyhzMYE7C2Unw2jUSqxPChg==" saltValue="WpGMJoPa4+mLuu8L/islsQ==" spinCount="100000" sheet="1" objects="1" scenarios="1"/>
  <pageMargins left="0.19687499999999999" right="0.19687499999999999" top="1" bottom="1" header="0.5" footer="0.5"/>
  <pageSetup scale="75" orientation="landscape" r:id="rId1"/>
  <headerFooter alignWithMargins="0">
    <oddHeader>&amp;LPríloha 7: Štandardné tabuľky - Cesty
&amp;"Arial,Tučné"&amp;12 11 Ekonomická analýza</oddHeader>
    <oddFooter>Strana &amp;P z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CEEA2-5C08-6843-88FF-17DC7E839BC4}">
  <sheetPr>
    <tabColor rgb="FF0070C0"/>
  </sheetPr>
  <dimension ref="B1:S167"/>
  <sheetViews>
    <sheetView zoomScale="80" zoomScaleNormal="80" workbookViewId="0">
      <pane ySplit="5" topLeftCell="A120" activePane="bottomLeft" state="frozen"/>
      <selection pane="bottomLeft" activeCell="D23" sqref="D23"/>
    </sheetView>
  </sheetViews>
  <sheetFormatPr defaultColWidth="8.85546875" defaultRowHeight="12.75"/>
  <cols>
    <col min="1" max="1" width="1.140625" style="641" customWidth="1"/>
    <col min="2" max="2" width="51.28515625" style="641" customWidth="1"/>
    <col min="3" max="3" width="34.42578125" style="641" customWidth="1"/>
    <col min="4" max="4" width="46" style="641" customWidth="1"/>
    <col min="5" max="5" width="44.42578125" style="641" customWidth="1"/>
    <col min="6" max="6" width="23.140625" style="641" customWidth="1"/>
    <col min="7" max="7" width="25.42578125" style="641" customWidth="1"/>
    <col min="8" max="253" width="8.85546875" style="641"/>
    <col min="254" max="254" width="0.85546875" style="641" customWidth="1"/>
    <col min="255" max="255" width="51.28515625" style="641" customWidth="1"/>
    <col min="256" max="256" width="34.42578125" style="641" customWidth="1"/>
    <col min="257" max="257" width="34.85546875" style="641" customWidth="1"/>
    <col min="258" max="258" width="46" style="641" customWidth="1"/>
    <col min="259" max="259" width="28.42578125" style="641" customWidth="1"/>
    <col min="260" max="260" width="44.42578125" style="641" customWidth="1"/>
    <col min="261" max="261" width="38.42578125" style="641" customWidth="1"/>
    <col min="262" max="262" width="23.140625" style="641" customWidth="1"/>
    <col min="263" max="263" width="25.42578125" style="641" customWidth="1"/>
    <col min="264" max="509" width="8.85546875" style="641"/>
    <col min="510" max="510" width="0.85546875" style="641" customWidth="1"/>
    <col min="511" max="511" width="51.28515625" style="641" customWidth="1"/>
    <col min="512" max="512" width="34.42578125" style="641" customWidth="1"/>
    <col min="513" max="513" width="34.85546875" style="641" customWidth="1"/>
    <col min="514" max="514" width="46" style="641" customWidth="1"/>
    <col min="515" max="515" width="28.42578125" style="641" customWidth="1"/>
    <col min="516" max="516" width="44.42578125" style="641" customWidth="1"/>
    <col min="517" max="517" width="38.42578125" style="641" customWidth="1"/>
    <col min="518" max="518" width="23.140625" style="641" customWidth="1"/>
    <col min="519" max="519" width="25.42578125" style="641" customWidth="1"/>
    <col min="520" max="765" width="8.85546875" style="641"/>
    <col min="766" max="766" width="0.85546875" style="641" customWidth="1"/>
    <col min="767" max="767" width="51.28515625" style="641" customWidth="1"/>
    <col min="768" max="768" width="34.42578125" style="641" customWidth="1"/>
    <col min="769" max="769" width="34.85546875" style="641" customWidth="1"/>
    <col min="770" max="770" width="46" style="641" customWidth="1"/>
    <col min="771" max="771" width="28.42578125" style="641" customWidth="1"/>
    <col min="772" max="772" width="44.42578125" style="641" customWidth="1"/>
    <col min="773" max="773" width="38.42578125" style="641" customWidth="1"/>
    <col min="774" max="774" width="23.140625" style="641" customWidth="1"/>
    <col min="775" max="775" width="25.42578125" style="641" customWidth="1"/>
    <col min="776" max="1021" width="8.85546875" style="641"/>
    <col min="1022" max="1022" width="0.85546875" style="641" customWidth="1"/>
    <col min="1023" max="1023" width="51.28515625" style="641" customWidth="1"/>
    <col min="1024" max="1024" width="34.42578125" style="641" customWidth="1"/>
    <col min="1025" max="1025" width="34.85546875" style="641" customWidth="1"/>
    <col min="1026" max="1026" width="46" style="641" customWidth="1"/>
    <col min="1027" max="1027" width="28.42578125" style="641" customWidth="1"/>
    <col min="1028" max="1028" width="44.42578125" style="641" customWidth="1"/>
    <col min="1029" max="1029" width="38.42578125" style="641" customWidth="1"/>
    <col min="1030" max="1030" width="23.140625" style="641" customWidth="1"/>
    <col min="1031" max="1031" width="25.42578125" style="641" customWidth="1"/>
    <col min="1032" max="1277" width="8.85546875" style="641"/>
    <col min="1278" max="1278" width="0.85546875" style="641" customWidth="1"/>
    <col min="1279" max="1279" width="51.28515625" style="641" customWidth="1"/>
    <col min="1280" max="1280" width="34.42578125" style="641" customWidth="1"/>
    <col min="1281" max="1281" width="34.85546875" style="641" customWidth="1"/>
    <col min="1282" max="1282" width="46" style="641" customWidth="1"/>
    <col min="1283" max="1283" width="28.42578125" style="641" customWidth="1"/>
    <col min="1284" max="1284" width="44.42578125" style="641" customWidth="1"/>
    <col min="1285" max="1285" width="38.42578125" style="641" customWidth="1"/>
    <col min="1286" max="1286" width="23.140625" style="641" customWidth="1"/>
    <col min="1287" max="1287" width="25.42578125" style="641" customWidth="1"/>
    <col min="1288" max="1533" width="8.85546875" style="641"/>
    <col min="1534" max="1534" width="0.85546875" style="641" customWidth="1"/>
    <col min="1535" max="1535" width="51.28515625" style="641" customWidth="1"/>
    <col min="1536" max="1536" width="34.42578125" style="641" customWidth="1"/>
    <col min="1537" max="1537" width="34.85546875" style="641" customWidth="1"/>
    <col min="1538" max="1538" width="46" style="641" customWidth="1"/>
    <col min="1539" max="1539" width="28.42578125" style="641" customWidth="1"/>
    <col min="1540" max="1540" width="44.42578125" style="641" customWidth="1"/>
    <col min="1541" max="1541" width="38.42578125" style="641" customWidth="1"/>
    <col min="1542" max="1542" width="23.140625" style="641" customWidth="1"/>
    <col min="1543" max="1543" width="25.42578125" style="641" customWidth="1"/>
    <col min="1544" max="1789" width="8.85546875" style="641"/>
    <col min="1790" max="1790" width="0.85546875" style="641" customWidth="1"/>
    <col min="1791" max="1791" width="51.28515625" style="641" customWidth="1"/>
    <col min="1792" max="1792" width="34.42578125" style="641" customWidth="1"/>
    <col min="1793" max="1793" width="34.85546875" style="641" customWidth="1"/>
    <col min="1794" max="1794" width="46" style="641" customWidth="1"/>
    <col min="1795" max="1795" width="28.42578125" style="641" customWidth="1"/>
    <col min="1796" max="1796" width="44.42578125" style="641" customWidth="1"/>
    <col min="1797" max="1797" width="38.42578125" style="641" customWidth="1"/>
    <col min="1798" max="1798" width="23.140625" style="641" customWidth="1"/>
    <col min="1799" max="1799" width="25.42578125" style="641" customWidth="1"/>
    <col min="1800" max="2045" width="8.85546875" style="641"/>
    <col min="2046" max="2046" width="0.85546875" style="641" customWidth="1"/>
    <col min="2047" max="2047" width="51.28515625" style="641" customWidth="1"/>
    <col min="2048" max="2048" width="34.42578125" style="641" customWidth="1"/>
    <col min="2049" max="2049" width="34.85546875" style="641" customWidth="1"/>
    <col min="2050" max="2050" width="46" style="641" customWidth="1"/>
    <col min="2051" max="2051" width="28.42578125" style="641" customWidth="1"/>
    <col min="2052" max="2052" width="44.42578125" style="641" customWidth="1"/>
    <col min="2053" max="2053" width="38.42578125" style="641" customWidth="1"/>
    <col min="2054" max="2054" width="23.140625" style="641" customWidth="1"/>
    <col min="2055" max="2055" width="25.42578125" style="641" customWidth="1"/>
    <col min="2056" max="2301" width="8.85546875" style="641"/>
    <col min="2302" max="2302" width="0.85546875" style="641" customWidth="1"/>
    <col min="2303" max="2303" width="51.28515625" style="641" customWidth="1"/>
    <col min="2304" max="2304" width="34.42578125" style="641" customWidth="1"/>
    <col min="2305" max="2305" width="34.85546875" style="641" customWidth="1"/>
    <col min="2306" max="2306" width="46" style="641" customWidth="1"/>
    <col min="2307" max="2307" width="28.42578125" style="641" customWidth="1"/>
    <col min="2308" max="2308" width="44.42578125" style="641" customWidth="1"/>
    <col min="2309" max="2309" width="38.42578125" style="641" customWidth="1"/>
    <col min="2310" max="2310" width="23.140625" style="641" customWidth="1"/>
    <col min="2311" max="2311" width="25.42578125" style="641" customWidth="1"/>
    <col min="2312" max="2557" width="8.85546875" style="641"/>
    <col min="2558" max="2558" width="0.85546875" style="641" customWidth="1"/>
    <col min="2559" max="2559" width="51.28515625" style="641" customWidth="1"/>
    <col min="2560" max="2560" width="34.42578125" style="641" customWidth="1"/>
    <col min="2561" max="2561" width="34.85546875" style="641" customWidth="1"/>
    <col min="2562" max="2562" width="46" style="641" customWidth="1"/>
    <col min="2563" max="2563" width="28.42578125" style="641" customWidth="1"/>
    <col min="2564" max="2564" width="44.42578125" style="641" customWidth="1"/>
    <col min="2565" max="2565" width="38.42578125" style="641" customWidth="1"/>
    <col min="2566" max="2566" width="23.140625" style="641" customWidth="1"/>
    <col min="2567" max="2567" width="25.42578125" style="641" customWidth="1"/>
    <col min="2568" max="2813" width="8.85546875" style="641"/>
    <col min="2814" max="2814" width="0.85546875" style="641" customWidth="1"/>
    <col min="2815" max="2815" width="51.28515625" style="641" customWidth="1"/>
    <col min="2816" max="2816" width="34.42578125" style="641" customWidth="1"/>
    <col min="2817" max="2817" width="34.85546875" style="641" customWidth="1"/>
    <col min="2818" max="2818" width="46" style="641" customWidth="1"/>
    <col min="2819" max="2819" width="28.42578125" style="641" customWidth="1"/>
    <col min="2820" max="2820" width="44.42578125" style="641" customWidth="1"/>
    <col min="2821" max="2821" width="38.42578125" style="641" customWidth="1"/>
    <col min="2822" max="2822" width="23.140625" style="641" customWidth="1"/>
    <col min="2823" max="2823" width="25.42578125" style="641" customWidth="1"/>
    <col min="2824" max="3069" width="8.85546875" style="641"/>
    <col min="3070" max="3070" width="0.85546875" style="641" customWidth="1"/>
    <col min="3071" max="3071" width="51.28515625" style="641" customWidth="1"/>
    <col min="3072" max="3072" width="34.42578125" style="641" customWidth="1"/>
    <col min="3073" max="3073" width="34.85546875" style="641" customWidth="1"/>
    <col min="3074" max="3074" width="46" style="641" customWidth="1"/>
    <col min="3075" max="3075" width="28.42578125" style="641" customWidth="1"/>
    <col min="3076" max="3076" width="44.42578125" style="641" customWidth="1"/>
    <col min="3077" max="3077" width="38.42578125" style="641" customWidth="1"/>
    <col min="3078" max="3078" width="23.140625" style="641" customWidth="1"/>
    <col min="3079" max="3079" width="25.42578125" style="641" customWidth="1"/>
    <col min="3080" max="3325" width="8.85546875" style="641"/>
    <col min="3326" max="3326" width="0.85546875" style="641" customWidth="1"/>
    <col min="3327" max="3327" width="51.28515625" style="641" customWidth="1"/>
    <col min="3328" max="3328" width="34.42578125" style="641" customWidth="1"/>
    <col min="3329" max="3329" width="34.85546875" style="641" customWidth="1"/>
    <col min="3330" max="3330" width="46" style="641" customWidth="1"/>
    <col min="3331" max="3331" width="28.42578125" style="641" customWidth="1"/>
    <col min="3332" max="3332" width="44.42578125" style="641" customWidth="1"/>
    <col min="3333" max="3333" width="38.42578125" style="641" customWidth="1"/>
    <col min="3334" max="3334" width="23.140625" style="641" customWidth="1"/>
    <col min="3335" max="3335" width="25.42578125" style="641" customWidth="1"/>
    <col min="3336" max="3581" width="8.85546875" style="641"/>
    <col min="3582" max="3582" width="0.85546875" style="641" customWidth="1"/>
    <col min="3583" max="3583" width="51.28515625" style="641" customWidth="1"/>
    <col min="3584" max="3584" width="34.42578125" style="641" customWidth="1"/>
    <col min="3585" max="3585" width="34.85546875" style="641" customWidth="1"/>
    <col min="3586" max="3586" width="46" style="641" customWidth="1"/>
    <col min="3587" max="3587" width="28.42578125" style="641" customWidth="1"/>
    <col min="3588" max="3588" width="44.42578125" style="641" customWidth="1"/>
    <col min="3589" max="3589" width="38.42578125" style="641" customWidth="1"/>
    <col min="3590" max="3590" width="23.140625" style="641" customWidth="1"/>
    <col min="3591" max="3591" width="25.42578125" style="641" customWidth="1"/>
    <col min="3592" max="3837" width="8.85546875" style="641"/>
    <col min="3838" max="3838" width="0.85546875" style="641" customWidth="1"/>
    <col min="3839" max="3839" width="51.28515625" style="641" customWidth="1"/>
    <col min="3840" max="3840" width="34.42578125" style="641" customWidth="1"/>
    <col min="3841" max="3841" width="34.85546875" style="641" customWidth="1"/>
    <col min="3842" max="3842" width="46" style="641" customWidth="1"/>
    <col min="3843" max="3843" width="28.42578125" style="641" customWidth="1"/>
    <col min="3844" max="3844" width="44.42578125" style="641" customWidth="1"/>
    <col min="3845" max="3845" width="38.42578125" style="641" customWidth="1"/>
    <col min="3846" max="3846" width="23.140625" style="641" customWidth="1"/>
    <col min="3847" max="3847" width="25.42578125" style="641" customWidth="1"/>
    <col min="3848" max="4093" width="8.85546875" style="641"/>
    <col min="4094" max="4094" width="0.85546875" style="641" customWidth="1"/>
    <col min="4095" max="4095" width="51.28515625" style="641" customWidth="1"/>
    <col min="4096" max="4096" width="34.42578125" style="641" customWidth="1"/>
    <col min="4097" max="4097" width="34.85546875" style="641" customWidth="1"/>
    <col min="4098" max="4098" width="46" style="641" customWidth="1"/>
    <col min="4099" max="4099" width="28.42578125" style="641" customWidth="1"/>
    <col min="4100" max="4100" width="44.42578125" style="641" customWidth="1"/>
    <col min="4101" max="4101" width="38.42578125" style="641" customWidth="1"/>
    <col min="4102" max="4102" width="23.140625" style="641" customWidth="1"/>
    <col min="4103" max="4103" width="25.42578125" style="641" customWidth="1"/>
    <col min="4104" max="4349" width="8.85546875" style="641"/>
    <col min="4350" max="4350" width="0.85546875" style="641" customWidth="1"/>
    <col min="4351" max="4351" width="51.28515625" style="641" customWidth="1"/>
    <col min="4352" max="4352" width="34.42578125" style="641" customWidth="1"/>
    <col min="4353" max="4353" width="34.85546875" style="641" customWidth="1"/>
    <col min="4354" max="4354" width="46" style="641" customWidth="1"/>
    <col min="4355" max="4355" width="28.42578125" style="641" customWidth="1"/>
    <col min="4356" max="4356" width="44.42578125" style="641" customWidth="1"/>
    <col min="4357" max="4357" width="38.42578125" style="641" customWidth="1"/>
    <col min="4358" max="4358" width="23.140625" style="641" customWidth="1"/>
    <col min="4359" max="4359" width="25.42578125" style="641" customWidth="1"/>
    <col min="4360" max="4605" width="8.85546875" style="641"/>
    <col min="4606" max="4606" width="0.85546875" style="641" customWidth="1"/>
    <col min="4607" max="4607" width="51.28515625" style="641" customWidth="1"/>
    <col min="4608" max="4608" width="34.42578125" style="641" customWidth="1"/>
    <col min="4609" max="4609" width="34.85546875" style="641" customWidth="1"/>
    <col min="4610" max="4610" width="46" style="641" customWidth="1"/>
    <col min="4611" max="4611" width="28.42578125" style="641" customWidth="1"/>
    <col min="4612" max="4612" width="44.42578125" style="641" customWidth="1"/>
    <col min="4613" max="4613" width="38.42578125" style="641" customWidth="1"/>
    <col min="4614" max="4614" width="23.140625" style="641" customWidth="1"/>
    <col min="4615" max="4615" width="25.42578125" style="641" customWidth="1"/>
    <col min="4616" max="4861" width="8.85546875" style="641"/>
    <col min="4862" max="4862" width="0.85546875" style="641" customWidth="1"/>
    <col min="4863" max="4863" width="51.28515625" style="641" customWidth="1"/>
    <col min="4864" max="4864" width="34.42578125" style="641" customWidth="1"/>
    <col min="4865" max="4865" width="34.85546875" style="641" customWidth="1"/>
    <col min="4866" max="4866" width="46" style="641" customWidth="1"/>
    <col min="4867" max="4867" width="28.42578125" style="641" customWidth="1"/>
    <col min="4868" max="4868" width="44.42578125" style="641" customWidth="1"/>
    <col min="4869" max="4869" width="38.42578125" style="641" customWidth="1"/>
    <col min="4870" max="4870" width="23.140625" style="641" customWidth="1"/>
    <col min="4871" max="4871" width="25.42578125" style="641" customWidth="1"/>
    <col min="4872" max="5117" width="8.85546875" style="641"/>
    <col min="5118" max="5118" width="0.85546875" style="641" customWidth="1"/>
    <col min="5119" max="5119" width="51.28515625" style="641" customWidth="1"/>
    <col min="5120" max="5120" width="34.42578125" style="641" customWidth="1"/>
    <col min="5121" max="5121" width="34.85546875" style="641" customWidth="1"/>
    <col min="5122" max="5122" width="46" style="641" customWidth="1"/>
    <col min="5123" max="5123" width="28.42578125" style="641" customWidth="1"/>
    <col min="5124" max="5124" width="44.42578125" style="641" customWidth="1"/>
    <col min="5125" max="5125" width="38.42578125" style="641" customWidth="1"/>
    <col min="5126" max="5126" width="23.140625" style="641" customWidth="1"/>
    <col min="5127" max="5127" width="25.42578125" style="641" customWidth="1"/>
    <col min="5128" max="5373" width="8.85546875" style="641"/>
    <col min="5374" max="5374" width="0.85546875" style="641" customWidth="1"/>
    <col min="5375" max="5375" width="51.28515625" style="641" customWidth="1"/>
    <col min="5376" max="5376" width="34.42578125" style="641" customWidth="1"/>
    <col min="5377" max="5377" width="34.85546875" style="641" customWidth="1"/>
    <col min="5378" max="5378" width="46" style="641" customWidth="1"/>
    <col min="5379" max="5379" width="28.42578125" style="641" customWidth="1"/>
    <col min="5380" max="5380" width="44.42578125" style="641" customWidth="1"/>
    <col min="5381" max="5381" width="38.42578125" style="641" customWidth="1"/>
    <col min="5382" max="5382" width="23.140625" style="641" customWidth="1"/>
    <col min="5383" max="5383" width="25.42578125" style="641" customWidth="1"/>
    <col min="5384" max="5629" width="8.85546875" style="641"/>
    <col min="5630" max="5630" width="0.85546875" style="641" customWidth="1"/>
    <col min="5631" max="5631" width="51.28515625" style="641" customWidth="1"/>
    <col min="5632" max="5632" width="34.42578125" style="641" customWidth="1"/>
    <col min="5633" max="5633" width="34.85546875" style="641" customWidth="1"/>
    <col min="5634" max="5634" width="46" style="641" customWidth="1"/>
    <col min="5635" max="5635" width="28.42578125" style="641" customWidth="1"/>
    <col min="5636" max="5636" width="44.42578125" style="641" customWidth="1"/>
    <col min="5637" max="5637" width="38.42578125" style="641" customWidth="1"/>
    <col min="5638" max="5638" width="23.140625" style="641" customWidth="1"/>
    <col min="5639" max="5639" width="25.42578125" style="641" customWidth="1"/>
    <col min="5640" max="5885" width="8.85546875" style="641"/>
    <col min="5886" max="5886" width="0.85546875" style="641" customWidth="1"/>
    <col min="5887" max="5887" width="51.28515625" style="641" customWidth="1"/>
    <col min="5888" max="5888" width="34.42578125" style="641" customWidth="1"/>
    <col min="5889" max="5889" width="34.85546875" style="641" customWidth="1"/>
    <col min="5890" max="5890" width="46" style="641" customWidth="1"/>
    <col min="5891" max="5891" width="28.42578125" style="641" customWidth="1"/>
    <col min="5892" max="5892" width="44.42578125" style="641" customWidth="1"/>
    <col min="5893" max="5893" width="38.42578125" style="641" customWidth="1"/>
    <col min="5894" max="5894" width="23.140625" style="641" customWidth="1"/>
    <col min="5895" max="5895" width="25.42578125" style="641" customWidth="1"/>
    <col min="5896" max="6141" width="8.85546875" style="641"/>
    <col min="6142" max="6142" width="0.85546875" style="641" customWidth="1"/>
    <col min="6143" max="6143" width="51.28515625" style="641" customWidth="1"/>
    <col min="6144" max="6144" width="34.42578125" style="641" customWidth="1"/>
    <col min="6145" max="6145" width="34.85546875" style="641" customWidth="1"/>
    <col min="6146" max="6146" width="46" style="641" customWidth="1"/>
    <col min="6147" max="6147" width="28.42578125" style="641" customWidth="1"/>
    <col min="6148" max="6148" width="44.42578125" style="641" customWidth="1"/>
    <col min="6149" max="6149" width="38.42578125" style="641" customWidth="1"/>
    <col min="6150" max="6150" width="23.140625" style="641" customWidth="1"/>
    <col min="6151" max="6151" width="25.42578125" style="641" customWidth="1"/>
    <col min="6152" max="6397" width="8.85546875" style="641"/>
    <col min="6398" max="6398" width="0.85546875" style="641" customWidth="1"/>
    <col min="6399" max="6399" width="51.28515625" style="641" customWidth="1"/>
    <col min="6400" max="6400" width="34.42578125" style="641" customWidth="1"/>
    <col min="6401" max="6401" width="34.85546875" style="641" customWidth="1"/>
    <col min="6402" max="6402" width="46" style="641" customWidth="1"/>
    <col min="6403" max="6403" width="28.42578125" style="641" customWidth="1"/>
    <col min="6404" max="6404" width="44.42578125" style="641" customWidth="1"/>
    <col min="6405" max="6405" width="38.42578125" style="641" customWidth="1"/>
    <col min="6406" max="6406" width="23.140625" style="641" customWidth="1"/>
    <col min="6407" max="6407" width="25.42578125" style="641" customWidth="1"/>
    <col min="6408" max="6653" width="8.85546875" style="641"/>
    <col min="6654" max="6654" width="0.85546875" style="641" customWidth="1"/>
    <col min="6655" max="6655" width="51.28515625" style="641" customWidth="1"/>
    <col min="6656" max="6656" width="34.42578125" style="641" customWidth="1"/>
    <col min="6657" max="6657" width="34.85546875" style="641" customWidth="1"/>
    <col min="6658" max="6658" width="46" style="641" customWidth="1"/>
    <col min="6659" max="6659" width="28.42578125" style="641" customWidth="1"/>
    <col min="6660" max="6660" width="44.42578125" style="641" customWidth="1"/>
    <col min="6661" max="6661" width="38.42578125" style="641" customWidth="1"/>
    <col min="6662" max="6662" width="23.140625" style="641" customWidth="1"/>
    <col min="6663" max="6663" width="25.42578125" style="641" customWidth="1"/>
    <col min="6664" max="6909" width="8.85546875" style="641"/>
    <col min="6910" max="6910" width="0.85546875" style="641" customWidth="1"/>
    <col min="6911" max="6911" width="51.28515625" style="641" customWidth="1"/>
    <col min="6912" max="6912" width="34.42578125" style="641" customWidth="1"/>
    <col min="6913" max="6913" width="34.85546875" style="641" customWidth="1"/>
    <col min="6914" max="6914" width="46" style="641" customWidth="1"/>
    <col min="6915" max="6915" width="28.42578125" style="641" customWidth="1"/>
    <col min="6916" max="6916" width="44.42578125" style="641" customWidth="1"/>
    <col min="6917" max="6917" width="38.42578125" style="641" customWidth="1"/>
    <col min="6918" max="6918" width="23.140625" style="641" customWidth="1"/>
    <col min="6919" max="6919" width="25.42578125" style="641" customWidth="1"/>
    <col min="6920" max="7165" width="8.85546875" style="641"/>
    <col min="7166" max="7166" width="0.85546875" style="641" customWidth="1"/>
    <col min="7167" max="7167" width="51.28515625" style="641" customWidth="1"/>
    <col min="7168" max="7168" width="34.42578125" style="641" customWidth="1"/>
    <col min="7169" max="7169" width="34.85546875" style="641" customWidth="1"/>
    <col min="7170" max="7170" width="46" style="641" customWidth="1"/>
    <col min="7171" max="7171" width="28.42578125" style="641" customWidth="1"/>
    <col min="7172" max="7172" width="44.42578125" style="641" customWidth="1"/>
    <col min="7173" max="7173" width="38.42578125" style="641" customWidth="1"/>
    <col min="7174" max="7174" width="23.140625" style="641" customWidth="1"/>
    <col min="7175" max="7175" width="25.42578125" style="641" customWidth="1"/>
    <col min="7176" max="7421" width="8.85546875" style="641"/>
    <col min="7422" max="7422" width="0.85546875" style="641" customWidth="1"/>
    <col min="7423" max="7423" width="51.28515625" style="641" customWidth="1"/>
    <col min="7424" max="7424" width="34.42578125" style="641" customWidth="1"/>
    <col min="7425" max="7425" width="34.85546875" style="641" customWidth="1"/>
    <col min="7426" max="7426" width="46" style="641" customWidth="1"/>
    <col min="7427" max="7427" width="28.42578125" style="641" customWidth="1"/>
    <col min="7428" max="7428" width="44.42578125" style="641" customWidth="1"/>
    <col min="7429" max="7429" width="38.42578125" style="641" customWidth="1"/>
    <col min="7430" max="7430" width="23.140625" style="641" customWidth="1"/>
    <col min="7431" max="7431" width="25.42578125" style="641" customWidth="1"/>
    <col min="7432" max="7677" width="8.85546875" style="641"/>
    <col min="7678" max="7678" width="0.85546875" style="641" customWidth="1"/>
    <col min="7679" max="7679" width="51.28515625" style="641" customWidth="1"/>
    <col min="7680" max="7680" width="34.42578125" style="641" customWidth="1"/>
    <col min="7681" max="7681" width="34.85546875" style="641" customWidth="1"/>
    <col min="7682" max="7682" width="46" style="641" customWidth="1"/>
    <col min="7683" max="7683" width="28.42578125" style="641" customWidth="1"/>
    <col min="7684" max="7684" width="44.42578125" style="641" customWidth="1"/>
    <col min="7685" max="7685" width="38.42578125" style="641" customWidth="1"/>
    <col min="7686" max="7686" width="23.140625" style="641" customWidth="1"/>
    <col min="7687" max="7687" width="25.42578125" style="641" customWidth="1"/>
    <col min="7688" max="7933" width="8.85546875" style="641"/>
    <col min="7934" max="7934" width="0.85546875" style="641" customWidth="1"/>
    <col min="7935" max="7935" width="51.28515625" style="641" customWidth="1"/>
    <col min="7936" max="7936" width="34.42578125" style="641" customWidth="1"/>
    <col min="7937" max="7937" width="34.85546875" style="641" customWidth="1"/>
    <col min="7938" max="7938" width="46" style="641" customWidth="1"/>
    <col min="7939" max="7939" width="28.42578125" style="641" customWidth="1"/>
    <col min="7940" max="7940" width="44.42578125" style="641" customWidth="1"/>
    <col min="7941" max="7941" width="38.42578125" style="641" customWidth="1"/>
    <col min="7942" max="7942" width="23.140625" style="641" customWidth="1"/>
    <col min="7943" max="7943" width="25.42578125" style="641" customWidth="1"/>
    <col min="7944" max="8189" width="8.85546875" style="641"/>
    <col min="8190" max="8190" width="0.85546875" style="641" customWidth="1"/>
    <col min="8191" max="8191" width="51.28515625" style="641" customWidth="1"/>
    <col min="8192" max="8192" width="34.42578125" style="641" customWidth="1"/>
    <col min="8193" max="8193" width="34.85546875" style="641" customWidth="1"/>
    <col min="8194" max="8194" width="46" style="641" customWidth="1"/>
    <col min="8195" max="8195" width="28.42578125" style="641" customWidth="1"/>
    <col min="8196" max="8196" width="44.42578125" style="641" customWidth="1"/>
    <col min="8197" max="8197" width="38.42578125" style="641" customWidth="1"/>
    <col min="8198" max="8198" width="23.140625" style="641" customWidth="1"/>
    <col min="8199" max="8199" width="25.42578125" style="641" customWidth="1"/>
    <col min="8200" max="8445" width="8.85546875" style="641"/>
    <col min="8446" max="8446" width="0.85546875" style="641" customWidth="1"/>
    <col min="8447" max="8447" width="51.28515625" style="641" customWidth="1"/>
    <col min="8448" max="8448" width="34.42578125" style="641" customWidth="1"/>
    <col min="8449" max="8449" width="34.85546875" style="641" customWidth="1"/>
    <col min="8450" max="8450" width="46" style="641" customWidth="1"/>
    <col min="8451" max="8451" width="28.42578125" style="641" customWidth="1"/>
    <col min="8452" max="8452" width="44.42578125" style="641" customWidth="1"/>
    <col min="8453" max="8453" width="38.42578125" style="641" customWidth="1"/>
    <col min="8454" max="8454" width="23.140625" style="641" customWidth="1"/>
    <col min="8455" max="8455" width="25.42578125" style="641" customWidth="1"/>
    <col min="8456" max="8701" width="8.85546875" style="641"/>
    <col min="8702" max="8702" width="0.85546875" style="641" customWidth="1"/>
    <col min="8703" max="8703" width="51.28515625" style="641" customWidth="1"/>
    <col min="8704" max="8704" width="34.42578125" style="641" customWidth="1"/>
    <col min="8705" max="8705" width="34.85546875" style="641" customWidth="1"/>
    <col min="8706" max="8706" width="46" style="641" customWidth="1"/>
    <col min="8707" max="8707" width="28.42578125" style="641" customWidth="1"/>
    <col min="8708" max="8708" width="44.42578125" style="641" customWidth="1"/>
    <col min="8709" max="8709" width="38.42578125" style="641" customWidth="1"/>
    <col min="8710" max="8710" width="23.140625" style="641" customWidth="1"/>
    <col min="8711" max="8711" width="25.42578125" style="641" customWidth="1"/>
    <col min="8712" max="8957" width="8.85546875" style="641"/>
    <col min="8958" max="8958" width="0.85546875" style="641" customWidth="1"/>
    <col min="8959" max="8959" width="51.28515625" style="641" customWidth="1"/>
    <col min="8960" max="8960" width="34.42578125" style="641" customWidth="1"/>
    <col min="8961" max="8961" width="34.85546875" style="641" customWidth="1"/>
    <col min="8962" max="8962" width="46" style="641" customWidth="1"/>
    <col min="8963" max="8963" width="28.42578125" style="641" customWidth="1"/>
    <col min="8964" max="8964" width="44.42578125" style="641" customWidth="1"/>
    <col min="8965" max="8965" width="38.42578125" style="641" customWidth="1"/>
    <col min="8966" max="8966" width="23.140625" style="641" customWidth="1"/>
    <col min="8967" max="8967" width="25.42578125" style="641" customWidth="1"/>
    <col min="8968" max="9213" width="8.85546875" style="641"/>
    <col min="9214" max="9214" width="0.85546875" style="641" customWidth="1"/>
    <col min="9215" max="9215" width="51.28515625" style="641" customWidth="1"/>
    <col min="9216" max="9216" width="34.42578125" style="641" customWidth="1"/>
    <col min="9217" max="9217" width="34.85546875" style="641" customWidth="1"/>
    <col min="9218" max="9218" width="46" style="641" customWidth="1"/>
    <col min="9219" max="9219" width="28.42578125" style="641" customWidth="1"/>
    <col min="9220" max="9220" width="44.42578125" style="641" customWidth="1"/>
    <col min="9221" max="9221" width="38.42578125" style="641" customWidth="1"/>
    <col min="9222" max="9222" width="23.140625" style="641" customWidth="1"/>
    <col min="9223" max="9223" width="25.42578125" style="641" customWidth="1"/>
    <col min="9224" max="9469" width="8.85546875" style="641"/>
    <col min="9470" max="9470" width="0.85546875" style="641" customWidth="1"/>
    <col min="9471" max="9471" width="51.28515625" style="641" customWidth="1"/>
    <col min="9472" max="9472" width="34.42578125" style="641" customWidth="1"/>
    <col min="9473" max="9473" width="34.85546875" style="641" customWidth="1"/>
    <col min="9474" max="9474" width="46" style="641" customWidth="1"/>
    <col min="9475" max="9475" width="28.42578125" style="641" customWidth="1"/>
    <col min="9476" max="9476" width="44.42578125" style="641" customWidth="1"/>
    <col min="9477" max="9477" width="38.42578125" style="641" customWidth="1"/>
    <col min="9478" max="9478" width="23.140625" style="641" customWidth="1"/>
    <col min="9479" max="9479" width="25.42578125" style="641" customWidth="1"/>
    <col min="9480" max="9725" width="8.85546875" style="641"/>
    <col min="9726" max="9726" width="0.85546875" style="641" customWidth="1"/>
    <col min="9727" max="9727" width="51.28515625" style="641" customWidth="1"/>
    <col min="9728" max="9728" width="34.42578125" style="641" customWidth="1"/>
    <col min="9729" max="9729" width="34.85546875" style="641" customWidth="1"/>
    <col min="9730" max="9730" width="46" style="641" customWidth="1"/>
    <col min="9731" max="9731" width="28.42578125" style="641" customWidth="1"/>
    <col min="9732" max="9732" width="44.42578125" style="641" customWidth="1"/>
    <col min="9733" max="9733" width="38.42578125" style="641" customWidth="1"/>
    <col min="9734" max="9734" width="23.140625" style="641" customWidth="1"/>
    <col min="9735" max="9735" width="25.42578125" style="641" customWidth="1"/>
    <col min="9736" max="9981" width="8.85546875" style="641"/>
    <col min="9982" max="9982" width="0.85546875" style="641" customWidth="1"/>
    <col min="9983" max="9983" width="51.28515625" style="641" customWidth="1"/>
    <col min="9984" max="9984" width="34.42578125" style="641" customWidth="1"/>
    <col min="9985" max="9985" width="34.85546875" style="641" customWidth="1"/>
    <col min="9986" max="9986" width="46" style="641" customWidth="1"/>
    <col min="9987" max="9987" width="28.42578125" style="641" customWidth="1"/>
    <col min="9988" max="9988" width="44.42578125" style="641" customWidth="1"/>
    <col min="9989" max="9989" width="38.42578125" style="641" customWidth="1"/>
    <col min="9990" max="9990" width="23.140625" style="641" customWidth="1"/>
    <col min="9991" max="9991" width="25.42578125" style="641" customWidth="1"/>
    <col min="9992" max="10237" width="8.85546875" style="641"/>
    <col min="10238" max="10238" width="0.85546875" style="641" customWidth="1"/>
    <col min="10239" max="10239" width="51.28515625" style="641" customWidth="1"/>
    <col min="10240" max="10240" width="34.42578125" style="641" customWidth="1"/>
    <col min="10241" max="10241" width="34.85546875" style="641" customWidth="1"/>
    <col min="10242" max="10242" width="46" style="641" customWidth="1"/>
    <col min="10243" max="10243" width="28.42578125" style="641" customWidth="1"/>
    <col min="10244" max="10244" width="44.42578125" style="641" customWidth="1"/>
    <col min="10245" max="10245" width="38.42578125" style="641" customWidth="1"/>
    <col min="10246" max="10246" width="23.140625" style="641" customWidth="1"/>
    <col min="10247" max="10247" width="25.42578125" style="641" customWidth="1"/>
    <col min="10248" max="10493" width="8.85546875" style="641"/>
    <col min="10494" max="10494" width="0.85546875" style="641" customWidth="1"/>
    <col min="10495" max="10495" width="51.28515625" style="641" customWidth="1"/>
    <col min="10496" max="10496" width="34.42578125" style="641" customWidth="1"/>
    <col min="10497" max="10497" width="34.85546875" style="641" customWidth="1"/>
    <col min="10498" max="10498" width="46" style="641" customWidth="1"/>
    <col min="10499" max="10499" width="28.42578125" style="641" customWidth="1"/>
    <col min="10500" max="10500" width="44.42578125" style="641" customWidth="1"/>
    <col min="10501" max="10501" width="38.42578125" style="641" customWidth="1"/>
    <col min="10502" max="10502" width="23.140625" style="641" customWidth="1"/>
    <col min="10503" max="10503" width="25.42578125" style="641" customWidth="1"/>
    <col min="10504" max="10749" width="8.85546875" style="641"/>
    <col min="10750" max="10750" width="0.85546875" style="641" customWidth="1"/>
    <col min="10751" max="10751" width="51.28515625" style="641" customWidth="1"/>
    <col min="10752" max="10752" width="34.42578125" style="641" customWidth="1"/>
    <col min="10753" max="10753" width="34.85546875" style="641" customWidth="1"/>
    <col min="10754" max="10754" width="46" style="641" customWidth="1"/>
    <col min="10755" max="10755" width="28.42578125" style="641" customWidth="1"/>
    <col min="10756" max="10756" width="44.42578125" style="641" customWidth="1"/>
    <col min="10757" max="10757" width="38.42578125" style="641" customWidth="1"/>
    <col min="10758" max="10758" width="23.140625" style="641" customWidth="1"/>
    <col min="10759" max="10759" width="25.42578125" style="641" customWidth="1"/>
    <col min="10760" max="11005" width="8.85546875" style="641"/>
    <col min="11006" max="11006" width="0.85546875" style="641" customWidth="1"/>
    <col min="11007" max="11007" width="51.28515625" style="641" customWidth="1"/>
    <col min="11008" max="11008" width="34.42578125" style="641" customWidth="1"/>
    <col min="11009" max="11009" width="34.85546875" style="641" customWidth="1"/>
    <col min="11010" max="11010" width="46" style="641" customWidth="1"/>
    <col min="11011" max="11011" width="28.42578125" style="641" customWidth="1"/>
    <col min="11012" max="11012" width="44.42578125" style="641" customWidth="1"/>
    <col min="11013" max="11013" width="38.42578125" style="641" customWidth="1"/>
    <col min="11014" max="11014" width="23.140625" style="641" customWidth="1"/>
    <col min="11015" max="11015" width="25.42578125" style="641" customWidth="1"/>
    <col min="11016" max="11261" width="8.85546875" style="641"/>
    <col min="11262" max="11262" width="0.85546875" style="641" customWidth="1"/>
    <col min="11263" max="11263" width="51.28515625" style="641" customWidth="1"/>
    <col min="11264" max="11264" width="34.42578125" style="641" customWidth="1"/>
    <col min="11265" max="11265" width="34.85546875" style="641" customWidth="1"/>
    <col min="11266" max="11266" width="46" style="641" customWidth="1"/>
    <col min="11267" max="11267" width="28.42578125" style="641" customWidth="1"/>
    <col min="11268" max="11268" width="44.42578125" style="641" customWidth="1"/>
    <col min="11269" max="11269" width="38.42578125" style="641" customWidth="1"/>
    <col min="11270" max="11270" width="23.140625" style="641" customWidth="1"/>
    <col min="11271" max="11271" width="25.42578125" style="641" customWidth="1"/>
    <col min="11272" max="11517" width="8.85546875" style="641"/>
    <col min="11518" max="11518" width="0.85546875" style="641" customWidth="1"/>
    <col min="11519" max="11519" width="51.28515625" style="641" customWidth="1"/>
    <col min="11520" max="11520" width="34.42578125" style="641" customWidth="1"/>
    <col min="11521" max="11521" width="34.85546875" style="641" customWidth="1"/>
    <col min="11522" max="11522" width="46" style="641" customWidth="1"/>
    <col min="11523" max="11523" width="28.42578125" style="641" customWidth="1"/>
    <col min="11524" max="11524" width="44.42578125" style="641" customWidth="1"/>
    <col min="11525" max="11525" width="38.42578125" style="641" customWidth="1"/>
    <col min="11526" max="11526" width="23.140625" style="641" customWidth="1"/>
    <col min="11527" max="11527" width="25.42578125" style="641" customWidth="1"/>
    <col min="11528" max="11773" width="8.85546875" style="641"/>
    <col min="11774" max="11774" width="0.85546875" style="641" customWidth="1"/>
    <col min="11775" max="11775" width="51.28515625" style="641" customWidth="1"/>
    <col min="11776" max="11776" width="34.42578125" style="641" customWidth="1"/>
    <col min="11777" max="11777" width="34.85546875" style="641" customWidth="1"/>
    <col min="11778" max="11778" width="46" style="641" customWidth="1"/>
    <col min="11779" max="11779" width="28.42578125" style="641" customWidth="1"/>
    <col min="11780" max="11780" width="44.42578125" style="641" customWidth="1"/>
    <col min="11781" max="11781" width="38.42578125" style="641" customWidth="1"/>
    <col min="11782" max="11782" width="23.140625" style="641" customWidth="1"/>
    <col min="11783" max="11783" width="25.42578125" style="641" customWidth="1"/>
    <col min="11784" max="12029" width="8.85546875" style="641"/>
    <col min="12030" max="12030" width="0.85546875" style="641" customWidth="1"/>
    <col min="12031" max="12031" width="51.28515625" style="641" customWidth="1"/>
    <col min="12032" max="12032" width="34.42578125" style="641" customWidth="1"/>
    <col min="12033" max="12033" width="34.85546875" style="641" customWidth="1"/>
    <col min="12034" max="12034" width="46" style="641" customWidth="1"/>
    <col min="12035" max="12035" width="28.42578125" style="641" customWidth="1"/>
    <col min="12036" max="12036" width="44.42578125" style="641" customWidth="1"/>
    <col min="12037" max="12037" width="38.42578125" style="641" customWidth="1"/>
    <col min="12038" max="12038" width="23.140625" style="641" customWidth="1"/>
    <col min="12039" max="12039" width="25.42578125" style="641" customWidth="1"/>
    <col min="12040" max="12285" width="8.85546875" style="641"/>
    <col min="12286" max="12286" width="0.85546875" style="641" customWidth="1"/>
    <col min="12287" max="12287" width="51.28515625" style="641" customWidth="1"/>
    <col min="12288" max="12288" width="34.42578125" style="641" customWidth="1"/>
    <col min="12289" max="12289" width="34.85546875" style="641" customWidth="1"/>
    <col min="12290" max="12290" width="46" style="641" customWidth="1"/>
    <col min="12291" max="12291" width="28.42578125" style="641" customWidth="1"/>
    <col min="12292" max="12292" width="44.42578125" style="641" customWidth="1"/>
    <col min="12293" max="12293" width="38.42578125" style="641" customWidth="1"/>
    <col min="12294" max="12294" width="23.140625" style="641" customWidth="1"/>
    <col min="12295" max="12295" width="25.42578125" style="641" customWidth="1"/>
    <col min="12296" max="12541" width="8.85546875" style="641"/>
    <col min="12542" max="12542" width="0.85546875" style="641" customWidth="1"/>
    <col min="12543" max="12543" width="51.28515625" style="641" customWidth="1"/>
    <col min="12544" max="12544" width="34.42578125" style="641" customWidth="1"/>
    <col min="12545" max="12545" width="34.85546875" style="641" customWidth="1"/>
    <col min="12546" max="12546" width="46" style="641" customWidth="1"/>
    <col min="12547" max="12547" width="28.42578125" style="641" customWidth="1"/>
    <col min="12548" max="12548" width="44.42578125" style="641" customWidth="1"/>
    <col min="12549" max="12549" width="38.42578125" style="641" customWidth="1"/>
    <col min="12550" max="12550" width="23.140625" style="641" customWidth="1"/>
    <col min="12551" max="12551" width="25.42578125" style="641" customWidth="1"/>
    <col min="12552" max="12797" width="8.85546875" style="641"/>
    <col min="12798" max="12798" width="0.85546875" style="641" customWidth="1"/>
    <col min="12799" max="12799" width="51.28515625" style="641" customWidth="1"/>
    <col min="12800" max="12800" width="34.42578125" style="641" customWidth="1"/>
    <col min="12801" max="12801" width="34.85546875" style="641" customWidth="1"/>
    <col min="12802" max="12802" width="46" style="641" customWidth="1"/>
    <col min="12803" max="12803" width="28.42578125" style="641" customWidth="1"/>
    <col min="12804" max="12804" width="44.42578125" style="641" customWidth="1"/>
    <col min="12805" max="12805" width="38.42578125" style="641" customWidth="1"/>
    <col min="12806" max="12806" width="23.140625" style="641" customWidth="1"/>
    <col min="12807" max="12807" width="25.42578125" style="641" customWidth="1"/>
    <col min="12808" max="13053" width="8.85546875" style="641"/>
    <col min="13054" max="13054" width="0.85546875" style="641" customWidth="1"/>
    <col min="13055" max="13055" width="51.28515625" style="641" customWidth="1"/>
    <col min="13056" max="13056" width="34.42578125" style="641" customWidth="1"/>
    <col min="13057" max="13057" width="34.85546875" style="641" customWidth="1"/>
    <col min="13058" max="13058" width="46" style="641" customWidth="1"/>
    <col min="13059" max="13059" width="28.42578125" style="641" customWidth="1"/>
    <col min="13060" max="13060" width="44.42578125" style="641" customWidth="1"/>
    <col min="13061" max="13061" width="38.42578125" style="641" customWidth="1"/>
    <col min="13062" max="13062" width="23.140625" style="641" customWidth="1"/>
    <col min="13063" max="13063" width="25.42578125" style="641" customWidth="1"/>
    <col min="13064" max="13309" width="8.85546875" style="641"/>
    <col min="13310" max="13310" width="0.85546875" style="641" customWidth="1"/>
    <col min="13311" max="13311" width="51.28515625" style="641" customWidth="1"/>
    <col min="13312" max="13312" width="34.42578125" style="641" customWidth="1"/>
    <col min="13313" max="13313" width="34.85546875" style="641" customWidth="1"/>
    <col min="13314" max="13314" width="46" style="641" customWidth="1"/>
    <col min="13315" max="13315" width="28.42578125" style="641" customWidth="1"/>
    <col min="13316" max="13316" width="44.42578125" style="641" customWidth="1"/>
    <col min="13317" max="13317" width="38.42578125" style="641" customWidth="1"/>
    <col min="13318" max="13318" width="23.140625" style="641" customWidth="1"/>
    <col min="13319" max="13319" width="25.42578125" style="641" customWidth="1"/>
    <col min="13320" max="13565" width="8.85546875" style="641"/>
    <col min="13566" max="13566" width="0.85546875" style="641" customWidth="1"/>
    <col min="13567" max="13567" width="51.28515625" style="641" customWidth="1"/>
    <col min="13568" max="13568" width="34.42578125" style="641" customWidth="1"/>
    <col min="13569" max="13569" width="34.85546875" style="641" customWidth="1"/>
    <col min="13570" max="13570" width="46" style="641" customWidth="1"/>
    <col min="13571" max="13571" width="28.42578125" style="641" customWidth="1"/>
    <col min="13572" max="13572" width="44.42578125" style="641" customWidth="1"/>
    <col min="13573" max="13573" width="38.42578125" style="641" customWidth="1"/>
    <col min="13574" max="13574" width="23.140625" style="641" customWidth="1"/>
    <col min="13575" max="13575" width="25.42578125" style="641" customWidth="1"/>
    <col min="13576" max="13821" width="8.85546875" style="641"/>
    <col min="13822" max="13822" width="0.85546875" style="641" customWidth="1"/>
    <col min="13823" max="13823" width="51.28515625" style="641" customWidth="1"/>
    <col min="13824" max="13824" width="34.42578125" style="641" customWidth="1"/>
    <col min="13825" max="13825" width="34.85546875" style="641" customWidth="1"/>
    <col min="13826" max="13826" width="46" style="641" customWidth="1"/>
    <col min="13827" max="13827" width="28.42578125" style="641" customWidth="1"/>
    <col min="13828" max="13828" width="44.42578125" style="641" customWidth="1"/>
    <col min="13829" max="13829" width="38.42578125" style="641" customWidth="1"/>
    <col min="13830" max="13830" width="23.140625" style="641" customWidth="1"/>
    <col min="13831" max="13831" width="25.42578125" style="641" customWidth="1"/>
    <col min="13832" max="14077" width="8.85546875" style="641"/>
    <col min="14078" max="14078" width="0.85546875" style="641" customWidth="1"/>
    <col min="14079" max="14079" width="51.28515625" style="641" customWidth="1"/>
    <col min="14080" max="14080" width="34.42578125" style="641" customWidth="1"/>
    <col min="14081" max="14081" width="34.85546875" style="641" customWidth="1"/>
    <col min="14082" max="14082" width="46" style="641" customWidth="1"/>
    <col min="14083" max="14083" width="28.42578125" style="641" customWidth="1"/>
    <col min="14084" max="14084" width="44.42578125" style="641" customWidth="1"/>
    <col min="14085" max="14085" width="38.42578125" style="641" customWidth="1"/>
    <col min="14086" max="14086" width="23.140625" style="641" customWidth="1"/>
    <col min="14087" max="14087" width="25.42578125" style="641" customWidth="1"/>
    <col min="14088" max="14333" width="8.85546875" style="641"/>
    <col min="14334" max="14334" width="0.85546875" style="641" customWidth="1"/>
    <col min="14335" max="14335" width="51.28515625" style="641" customWidth="1"/>
    <col min="14336" max="14336" width="34.42578125" style="641" customWidth="1"/>
    <col min="14337" max="14337" width="34.85546875" style="641" customWidth="1"/>
    <col min="14338" max="14338" width="46" style="641" customWidth="1"/>
    <col min="14339" max="14339" width="28.42578125" style="641" customWidth="1"/>
    <col min="14340" max="14340" width="44.42578125" style="641" customWidth="1"/>
    <col min="14341" max="14341" width="38.42578125" style="641" customWidth="1"/>
    <col min="14342" max="14342" width="23.140625" style="641" customWidth="1"/>
    <col min="14343" max="14343" width="25.42578125" style="641" customWidth="1"/>
    <col min="14344" max="14589" width="8.85546875" style="641"/>
    <col min="14590" max="14590" width="0.85546875" style="641" customWidth="1"/>
    <col min="14591" max="14591" width="51.28515625" style="641" customWidth="1"/>
    <col min="14592" max="14592" width="34.42578125" style="641" customWidth="1"/>
    <col min="14593" max="14593" width="34.85546875" style="641" customWidth="1"/>
    <col min="14594" max="14594" width="46" style="641" customWidth="1"/>
    <col min="14595" max="14595" width="28.42578125" style="641" customWidth="1"/>
    <col min="14596" max="14596" width="44.42578125" style="641" customWidth="1"/>
    <col min="14597" max="14597" width="38.42578125" style="641" customWidth="1"/>
    <col min="14598" max="14598" width="23.140625" style="641" customWidth="1"/>
    <col min="14599" max="14599" width="25.42578125" style="641" customWidth="1"/>
    <col min="14600" max="14845" width="8.85546875" style="641"/>
    <col min="14846" max="14846" width="0.85546875" style="641" customWidth="1"/>
    <col min="14847" max="14847" width="51.28515625" style="641" customWidth="1"/>
    <col min="14848" max="14848" width="34.42578125" style="641" customWidth="1"/>
    <col min="14849" max="14849" width="34.85546875" style="641" customWidth="1"/>
    <col min="14850" max="14850" width="46" style="641" customWidth="1"/>
    <col min="14851" max="14851" width="28.42578125" style="641" customWidth="1"/>
    <col min="14852" max="14852" width="44.42578125" style="641" customWidth="1"/>
    <col min="14853" max="14853" width="38.42578125" style="641" customWidth="1"/>
    <col min="14854" max="14854" width="23.140625" style="641" customWidth="1"/>
    <col min="14855" max="14855" width="25.42578125" style="641" customWidth="1"/>
    <col min="14856" max="15101" width="8.85546875" style="641"/>
    <col min="15102" max="15102" width="0.85546875" style="641" customWidth="1"/>
    <col min="15103" max="15103" width="51.28515625" style="641" customWidth="1"/>
    <col min="15104" max="15104" width="34.42578125" style="641" customWidth="1"/>
    <col min="15105" max="15105" width="34.85546875" style="641" customWidth="1"/>
    <col min="15106" max="15106" width="46" style="641" customWidth="1"/>
    <col min="15107" max="15107" width="28.42578125" style="641" customWidth="1"/>
    <col min="15108" max="15108" width="44.42578125" style="641" customWidth="1"/>
    <col min="15109" max="15109" width="38.42578125" style="641" customWidth="1"/>
    <col min="15110" max="15110" width="23.140625" style="641" customWidth="1"/>
    <col min="15111" max="15111" width="25.42578125" style="641" customWidth="1"/>
    <col min="15112" max="15357" width="8.85546875" style="641"/>
    <col min="15358" max="15358" width="0.85546875" style="641" customWidth="1"/>
    <col min="15359" max="15359" width="51.28515625" style="641" customWidth="1"/>
    <col min="15360" max="15360" width="34.42578125" style="641" customWidth="1"/>
    <col min="15361" max="15361" width="34.85546875" style="641" customWidth="1"/>
    <col min="15362" max="15362" width="46" style="641" customWidth="1"/>
    <col min="15363" max="15363" width="28.42578125" style="641" customWidth="1"/>
    <col min="15364" max="15364" width="44.42578125" style="641" customWidth="1"/>
    <col min="15365" max="15365" width="38.42578125" style="641" customWidth="1"/>
    <col min="15366" max="15366" width="23.140625" style="641" customWidth="1"/>
    <col min="15367" max="15367" width="25.42578125" style="641" customWidth="1"/>
    <col min="15368" max="15613" width="8.85546875" style="641"/>
    <col min="15614" max="15614" width="0.85546875" style="641" customWidth="1"/>
    <col min="15615" max="15615" width="51.28515625" style="641" customWidth="1"/>
    <col min="15616" max="15616" width="34.42578125" style="641" customWidth="1"/>
    <col min="15617" max="15617" width="34.85546875" style="641" customWidth="1"/>
    <col min="15618" max="15618" width="46" style="641" customWidth="1"/>
    <col min="15619" max="15619" width="28.42578125" style="641" customWidth="1"/>
    <col min="15620" max="15620" width="44.42578125" style="641" customWidth="1"/>
    <col min="15621" max="15621" width="38.42578125" style="641" customWidth="1"/>
    <col min="15622" max="15622" width="23.140625" style="641" customWidth="1"/>
    <col min="15623" max="15623" width="25.42578125" style="641" customWidth="1"/>
    <col min="15624" max="15869" width="8.85546875" style="641"/>
    <col min="15870" max="15870" width="0.85546875" style="641" customWidth="1"/>
    <col min="15871" max="15871" width="51.28515625" style="641" customWidth="1"/>
    <col min="15872" max="15872" width="34.42578125" style="641" customWidth="1"/>
    <col min="15873" max="15873" width="34.85546875" style="641" customWidth="1"/>
    <col min="15874" max="15874" width="46" style="641" customWidth="1"/>
    <col min="15875" max="15875" width="28.42578125" style="641" customWidth="1"/>
    <col min="15876" max="15876" width="44.42578125" style="641" customWidth="1"/>
    <col min="15877" max="15877" width="38.42578125" style="641" customWidth="1"/>
    <col min="15878" max="15878" width="23.140625" style="641" customWidth="1"/>
    <col min="15879" max="15879" width="25.42578125" style="641" customWidth="1"/>
    <col min="15880" max="16125" width="8.85546875" style="641"/>
    <col min="16126" max="16126" width="0.85546875" style="641" customWidth="1"/>
    <col min="16127" max="16127" width="51.28515625" style="641" customWidth="1"/>
    <col min="16128" max="16128" width="34.42578125" style="641" customWidth="1"/>
    <col min="16129" max="16129" width="34.85546875" style="641" customWidth="1"/>
    <col min="16130" max="16130" width="46" style="641" customWidth="1"/>
    <col min="16131" max="16131" width="28.42578125" style="641" customWidth="1"/>
    <col min="16132" max="16132" width="44.42578125" style="641" customWidth="1"/>
    <col min="16133" max="16133" width="38.42578125" style="641" customWidth="1"/>
    <col min="16134" max="16134" width="23.140625" style="641" customWidth="1"/>
    <col min="16135" max="16135" width="25.42578125" style="641" customWidth="1"/>
    <col min="16136" max="16384" width="8.85546875" style="641"/>
  </cols>
  <sheetData>
    <row r="1" spans="2:19" ht="6.75" customHeight="1" thickBot="1"/>
    <row r="2" spans="2:19" ht="30.75" customHeight="1">
      <c r="B2" s="953" t="s">
        <v>584</v>
      </c>
      <c r="C2" s="954"/>
      <c r="D2" s="954"/>
      <c r="E2" s="954"/>
      <c r="F2" s="954"/>
      <c r="G2" s="954"/>
      <c r="H2" s="954"/>
      <c r="I2" s="954"/>
      <c r="J2" s="954"/>
      <c r="K2" s="954"/>
      <c r="L2" s="954"/>
      <c r="M2" s="954"/>
      <c r="N2" s="954"/>
      <c r="O2" s="954"/>
      <c r="P2" s="954"/>
      <c r="Q2" s="954"/>
      <c r="R2" s="954"/>
      <c r="S2" s="955"/>
    </row>
    <row r="3" spans="2:19" ht="12.75" customHeight="1">
      <c r="B3" s="956"/>
      <c r="C3" s="957"/>
      <c r="D3" s="957"/>
      <c r="E3" s="957"/>
      <c r="F3" s="957"/>
      <c r="G3" s="957"/>
      <c r="H3" s="957"/>
      <c r="I3" s="957"/>
      <c r="J3" s="957"/>
      <c r="K3" s="957"/>
      <c r="L3" s="957"/>
      <c r="M3" s="957"/>
      <c r="N3" s="957"/>
      <c r="O3" s="957"/>
      <c r="P3" s="957"/>
      <c r="Q3" s="957"/>
      <c r="R3" s="957"/>
      <c r="S3" s="958"/>
    </row>
    <row r="4" spans="2:19" ht="12.75" customHeight="1">
      <c r="B4" s="956"/>
      <c r="C4" s="957"/>
      <c r="D4" s="957"/>
      <c r="E4" s="957"/>
      <c r="F4" s="957"/>
      <c r="G4" s="957"/>
      <c r="H4" s="957"/>
      <c r="I4" s="957"/>
      <c r="J4" s="957"/>
      <c r="K4" s="957"/>
      <c r="L4" s="957"/>
      <c r="M4" s="957"/>
      <c r="N4" s="957"/>
      <c r="O4" s="957"/>
      <c r="P4" s="957"/>
      <c r="Q4" s="957"/>
      <c r="R4" s="957"/>
      <c r="S4" s="958"/>
    </row>
    <row r="5" spans="2:19" ht="12.75" customHeight="1" thickBot="1">
      <c r="B5" s="959"/>
      <c r="C5" s="960"/>
      <c r="D5" s="960"/>
      <c r="E5" s="960"/>
      <c r="F5" s="960"/>
      <c r="G5" s="960"/>
      <c r="H5" s="960"/>
      <c r="I5" s="960"/>
      <c r="J5" s="960"/>
      <c r="K5" s="960"/>
      <c r="L5" s="960"/>
      <c r="M5" s="960"/>
      <c r="N5" s="960"/>
      <c r="O5" s="960"/>
      <c r="P5" s="960"/>
      <c r="Q5" s="960"/>
      <c r="R5" s="960"/>
      <c r="S5" s="961"/>
    </row>
    <row r="7" spans="2:19" s="642" customFormat="1"/>
    <row r="8" spans="2:19" ht="13.5" thickBot="1"/>
    <row r="9" spans="2:19" ht="24" thickBot="1">
      <c r="B9" s="643" t="s">
        <v>550</v>
      </c>
      <c r="C9" s="644" t="s">
        <v>551</v>
      </c>
      <c r="D9" s="951" t="s">
        <v>551</v>
      </c>
      <c r="E9" s="645" t="s">
        <v>551</v>
      </c>
      <c r="F9" s="646"/>
      <c r="G9" s="647"/>
    </row>
    <row r="10" spans="2:19" ht="39" thickBot="1">
      <c r="B10" s="699"/>
      <c r="C10" s="648" t="s">
        <v>552</v>
      </c>
      <c r="D10" s="952"/>
      <c r="E10" s="649" t="s">
        <v>553</v>
      </c>
      <c r="F10" s="646"/>
      <c r="G10" s="647"/>
    </row>
    <row r="11" spans="2:19" ht="29.25" customHeight="1">
      <c r="B11" s="650" t="s">
        <v>554</v>
      </c>
      <c r="C11" s="651">
        <v>416241549.21101689</v>
      </c>
      <c r="D11" s="652">
        <f>'06 Finančná analýza - nákup'!$C$11</f>
        <v>419627150.14541209</v>
      </c>
      <c r="E11" s="653">
        <v>423012751.07980722</v>
      </c>
      <c r="F11" s="654"/>
      <c r="G11" s="655"/>
    </row>
    <row r="12" spans="2:19" ht="30" customHeight="1">
      <c r="B12" s="650" t="s">
        <v>555</v>
      </c>
      <c r="C12" s="656">
        <v>423704155.21437341</v>
      </c>
      <c r="D12" s="652">
        <f>'06 Finančná analýza - nákup'!$C$11</f>
        <v>419627150.14541209</v>
      </c>
      <c r="E12" s="657">
        <v>415550145.07645082</v>
      </c>
      <c r="F12" s="654"/>
      <c r="G12" s="655"/>
    </row>
    <row r="13" spans="2:19" ht="32.25" customHeight="1">
      <c r="B13" s="650" t="s">
        <v>556</v>
      </c>
      <c r="C13" s="656">
        <v>422643431.33219081</v>
      </c>
      <c r="D13" s="652">
        <f>'06 Finančná analýza - nákup'!$C$11</f>
        <v>419627150.14541209</v>
      </c>
      <c r="E13" s="653">
        <v>416610868.9586333</v>
      </c>
      <c r="F13" s="654"/>
    </row>
    <row r="14" spans="2:19" ht="32.25" customHeight="1" thickBot="1">
      <c r="B14" s="658" t="s">
        <v>557</v>
      </c>
      <c r="C14" s="659">
        <v>420115736.32552129</v>
      </c>
      <c r="D14" s="660">
        <f>'06 Finančná analýza - nákup'!$C$11</f>
        <v>419627150.14541209</v>
      </c>
      <c r="E14" s="661">
        <v>419138563.96530294</v>
      </c>
      <c r="F14" s="654"/>
    </row>
    <row r="15" spans="2:19">
      <c r="B15" s="662"/>
      <c r="C15" s="654"/>
      <c r="D15" s="654"/>
      <c r="E15" s="654"/>
      <c r="F15" s="654"/>
      <c r="G15" s="655"/>
    </row>
    <row r="16" spans="2:19">
      <c r="B16" s="662"/>
      <c r="C16" s="654"/>
      <c r="D16" s="654"/>
      <c r="E16" s="654"/>
      <c r="F16" s="654"/>
      <c r="G16" s="655"/>
    </row>
    <row r="17" spans="2:7">
      <c r="B17" s="662"/>
      <c r="C17" s="654"/>
      <c r="D17" s="654"/>
      <c r="E17" s="654"/>
      <c r="F17" s="654"/>
      <c r="G17" s="655"/>
    </row>
    <row r="18" spans="2:7" ht="13.5" thickBot="1">
      <c r="B18" s="647"/>
      <c r="C18" s="647"/>
      <c r="D18" s="647"/>
      <c r="E18" s="647"/>
      <c r="F18" s="647"/>
      <c r="G18" s="655"/>
    </row>
    <row r="19" spans="2:7" ht="24" thickBot="1">
      <c r="B19" s="643" t="s">
        <v>558</v>
      </c>
      <c r="C19" s="644" t="s">
        <v>551</v>
      </c>
      <c r="D19" s="951" t="s">
        <v>551</v>
      </c>
      <c r="E19" s="663" t="s">
        <v>551</v>
      </c>
      <c r="F19" s="962" t="s">
        <v>559</v>
      </c>
      <c r="G19" s="964" t="s">
        <v>560</v>
      </c>
    </row>
    <row r="20" spans="2:7" ht="39" thickBot="1">
      <c r="B20" s="699"/>
      <c r="C20" s="664" t="str">
        <f>C10</f>
        <v xml:space="preserve">zmena FNPV_C 
pri 1% zmene vstupnej premennej
</v>
      </c>
      <c r="D20" s="952"/>
      <c r="E20" s="665" t="str">
        <f>E10</f>
        <v xml:space="preserve">zmena FNPV_C 
pri -1% zmene vstupnej premennej
</v>
      </c>
      <c r="F20" s="963"/>
      <c r="G20" s="965"/>
    </row>
    <row r="21" spans="2:7" ht="30" customHeight="1">
      <c r="B21" s="666" t="str">
        <f>$B$11</f>
        <v>Vstupná premenná:
Investičné výdavky</v>
      </c>
      <c r="C21" s="667">
        <f>C11/D11-1</f>
        <v>-8.0681169777074846E-3</v>
      </c>
      <c r="D21" s="668">
        <f>D11/D11-1</f>
        <v>0</v>
      </c>
      <c r="E21" s="669">
        <f>E11/D11-1</f>
        <v>8.0681169777072625E-3</v>
      </c>
      <c r="F21" s="670" t="str">
        <f>IF(ABS(C21)&gt;1%,"Áno","Nie")</f>
        <v>Nie</v>
      </c>
      <c r="G21" s="671" t="str">
        <f>IF(ABS(E21)&gt;1%,"Áno","Nie")</f>
        <v>Nie</v>
      </c>
    </row>
    <row r="22" spans="2:7" ht="35.25" customHeight="1">
      <c r="B22" s="666" t="str">
        <f>$B$12</f>
        <v>Vstupná premenná:
Prevádzkové výdavky</v>
      </c>
      <c r="C22" s="672">
        <f>C12/D12-1</f>
        <v>9.715779990757234E-3</v>
      </c>
      <c r="D22" s="673">
        <f>D12/D12-1</f>
        <v>0</v>
      </c>
      <c r="E22" s="674">
        <f>E12/D12-1</f>
        <v>-9.715779990757234E-3</v>
      </c>
      <c r="F22" s="675" t="str">
        <f>IF(ABS(C22)&gt;1%,"Áno","Nie")</f>
        <v>Nie</v>
      </c>
      <c r="G22" s="676" t="str">
        <f>IF(ABS(E22)&gt;1%,"Áno","Nie")</f>
        <v>Nie</v>
      </c>
    </row>
    <row r="23" spans="2:7" ht="31.5" customHeight="1">
      <c r="B23" s="666" t="str">
        <f>$B$13</f>
        <v>Vstupná premenná:
Prevádzkové príjmy</v>
      </c>
      <c r="C23" s="672">
        <f>C13/D13-1</f>
        <v>7.1880029348279084E-3</v>
      </c>
      <c r="D23" s="673">
        <f>D13/D13-1</f>
        <v>0</v>
      </c>
      <c r="E23" s="674">
        <f>E13/D13-1</f>
        <v>-7.1880029348281305E-3</v>
      </c>
      <c r="F23" s="675" t="str">
        <f>IF(ABS(C23)&gt;1%,"Áno","Nie")</f>
        <v>Nie</v>
      </c>
      <c r="G23" s="676" t="str">
        <f>IF(ABS(E23)&gt;1%,"Áno","Nie")</f>
        <v>Nie</v>
      </c>
    </row>
    <row r="24" spans="2:7" ht="32.25" customHeight="1" thickBot="1">
      <c r="B24" s="677" t="str">
        <f>$B$14</f>
        <v>Vstupná premenná:
Zostatková hodnota</v>
      </c>
      <c r="C24" s="678">
        <f>C14/D14-1</f>
        <v>1.164334052121907E-3</v>
      </c>
      <c r="D24" s="679">
        <f>D14/D14-1</f>
        <v>0</v>
      </c>
      <c r="E24" s="680">
        <f>E14/D14-1</f>
        <v>-1.164334052121796E-3</v>
      </c>
      <c r="F24" s="678" t="str">
        <f>IF(ABS(C24)&gt;1%,"Áno","Nie")</f>
        <v>Nie</v>
      </c>
      <c r="G24" s="681" t="str">
        <f>IF(ABS(E24)&gt;1%,"Áno","Nie")</f>
        <v>Nie</v>
      </c>
    </row>
    <row r="58" spans="2:7" s="642" customFormat="1"/>
    <row r="59" spans="2:7" ht="13.5" thickBot="1"/>
    <row r="60" spans="2:7" ht="24" thickBot="1">
      <c r="B60" s="643" t="s">
        <v>550</v>
      </c>
      <c r="C60" s="644" t="s">
        <v>551</v>
      </c>
      <c r="D60" s="951" t="s">
        <v>551</v>
      </c>
      <c r="E60" s="645" t="s">
        <v>551</v>
      </c>
      <c r="F60" s="646"/>
      <c r="G60" s="647"/>
    </row>
    <row r="61" spans="2:7" ht="39" thickBot="1">
      <c r="B61" s="699"/>
      <c r="C61" s="648" t="s">
        <v>561</v>
      </c>
      <c r="D61" s="952"/>
      <c r="E61" s="649" t="s">
        <v>562</v>
      </c>
      <c r="F61" s="646"/>
      <c r="G61" s="647"/>
    </row>
    <row r="62" spans="2:7" s="683" customFormat="1" ht="32.25" customHeight="1">
      <c r="B62" s="650" t="str">
        <f>$B$11</f>
        <v>Vstupná premenná:
Investičné výdavky</v>
      </c>
      <c r="C62" s="651">
        <v>402699145.47343642</v>
      </c>
      <c r="D62" s="652">
        <f>$D$11</f>
        <v>419627150.14541209</v>
      </c>
      <c r="E62" s="653">
        <v>436555154.81738782</v>
      </c>
      <c r="F62" s="654"/>
      <c r="G62" s="682"/>
    </row>
    <row r="63" spans="2:7" s="683" customFormat="1" ht="32.25" customHeight="1">
      <c r="B63" s="650" t="str">
        <f>$B$12</f>
        <v>Vstupná premenná:
Prevádzkové výdavky</v>
      </c>
      <c r="C63" s="656">
        <v>440012175.49021834</v>
      </c>
      <c r="D63" s="652">
        <f>$D$12</f>
        <v>419627150.14541209</v>
      </c>
      <c r="E63" s="657">
        <v>399242124.80060595</v>
      </c>
      <c r="F63" s="654"/>
      <c r="G63" s="682"/>
    </row>
    <row r="64" spans="2:7" s="683" customFormat="1" ht="32.25" customHeight="1">
      <c r="B64" s="650" t="str">
        <f>$B$13</f>
        <v>Vstupná premenná:
Prevádzkové príjmy</v>
      </c>
      <c r="C64" s="651">
        <v>434708556.07930624</v>
      </c>
      <c r="D64" s="652">
        <f>$D$13</f>
        <v>419627150.14541209</v>
      </c>
      <c r="E64" s="653">
        <v>404545744.21151799</v>
      </c>
      <c r="F64" s="654"/>
    </row>
    <row r="65" spans="2:7" s="683" customFormat="1" ht="32.25" customHeight="1" thickBot="1">
      <c r="B65" s="658" t="str">
        <f>$B$14</f>
        <v>Vstupná premenná:
Zostatková hodnota</v>
      </c>
      <c r="C65" s="659">
        <v>422070081.04595804</v>
      </c>
      <c r="D65" s="660">
        <f>$D$14</f>
        <v>419627150.14541209</v>
      </c>
      <c r="E65" s="661">
        <v>417184219.24486619</v>
      </c>
      <c r="F65" s="654"/>
    </row>
    <row r="66" spans="2:7">
      <c r="B66" s="662"/>
      <c r="C66" s="654"/>
      <c r="D66" s="654"/>
      <c r="E66" s="654"/>
      <c r="F66" s="654"/>
      <c r="G66" s="655"/>
    </row>
    <row r="67" spans="2:7">
      <c r="B67" s="662"/>
      <c r="C67" s="654"/>
      <c r="D67" s="654"/>
      <c r="E67" s="654"/>
      <c r="F67" s="654"/>
      <c r="G67" s="655"/>
    </row>
    <row r="68" spans="2:7">
      <c r="B68" s="662"/>
      <c r="C68" s="654"/>
      <c r="D68" s="654"/>
      <c r="E68" s="654"/>
      <c r="F68" s="654"/>
      <c r="G68" s="655"/>
    </row>
    <row r="69" spans="2:7" ht="13.5" thickBot="1">
      <c r="B69" s="647"/>
      <c r="C69" s="647"/>
      <c r="D69" s="647"/>
      <c r="E69" s="647"/>
      <c r="F69" s="647"/>
      <c r="G69" s="655"/>
    </row>
    <row r="70" spans="2:7" ht="24" thickBot="1">
      <c r="B70" s="643" t="s">
        <v>558</v>
      </c>
      <c r="C70" s="644" t="s">
        <v>551</v>
      </c>
      <c r="D70" s="951" t="s">
        <v>551</v>
      </c>
      <c r="E70" s="663" t="s">
        <v>551</v>
      </c>
      <c r="F70" s="962" t="s">
        <v>563</v>
      </c>
      <c r="G70" s="964" t="s">
        <v>564</v>
      </c>
    </row>
    <row r="71" spans="2:7" ht="39" thickBot="1">
      <c r="B71" s="699"/>
      <c r="C71" s="664" t="str">
        <f>C61</f>
        <v xml:space="preserve">zmena FNPV_C 
pri 5% zmene vstupnej premennej
</v>
      </c>
      <c r="D71" s="952"/>
      <c r="E71" s="665" t="str">
        <f>E61</f>
        <v xml:space="preserve">zmena FNPV_C 
pri -5% zmene vstupnej premennej
</v>
      </c>
      <c r="F71" s="963"/>
      <c r="G71" s="965"/>
    </row>
    <row r="72" spans="2:7" s="683" customFormat="1" ht="33" customHeight="1">
      <c r="B72" s="666" t="str">
        <f>$B$11</f>
        <v>Vstupná premenná:
Investičné výdavky</v>
      </c>
      <c r="C72" s="684">
        <f>C62/D62-1</f>
        <v>-4.0340584888536535E-2</v>
      </c>
      <c r="D72" s="668">
        <f>D62/D62-1</f>
        <v>0</v>
      </c>
      <c r="E72" s="685">
        <f>E62/D62-1</f>
        <v>4.0340584888536757E-2</v>
      </c>
      <c r="F72" s="670" t="str">
        <f>IF(ABS(C72)&gt;5%,"Áno","Nie")</f>
        <v>Nie</v>
      </c>
      <c r="G72" s="671" t="str">
        <f>IF(ABS(E72)&gt;5%,"Áno","Nie")</f>
        <v>Nie</v>
      </c>
    </row>
    <row r="73" spans="2:7" s="683" customFormat="1" ht="33" customHeight="1">
      <c r="B73" s="666" t="str">
        <f>$B$12</f>
        <v>Vstupná premenná:
Prevádzkové výdavky</v>
      </c>
      <c r="C73" s="686">
        <f>C63/D63-1</f>
        <v>4.8578899953785948E-2</v>
      </c>
      <c r="D73" s="673">
        <f>D63/D63-1</f>
        <v>0</v>
      </c>
      <c r="E73" s="687">
        <f>E63/D63-1</f>
        <v>-4.8578899953785615E-2</v>
      </c>
      <c r="F73" s="675" t="str">
        <f>IF(ABS(C73)&gt;5%,"Áno","Nie")</f>
        <v>Nie</v>
      </c>
      <c r="G73" s="676" t="str">
        <f>IF(ABS(E73)&gt;5%,"Áno","Nie")</f>
        <v>Nie</v>
      </c>
    </row>
    <row r="74" spans="2:7" s="683" customFormat="1" ht="33" customHeight="1">
      <c r="B74" s="666" t="str">
        <f>$B$13</f>
        <v>Vstupná premenná:
Prevádzkové príjmy</v>
      </c>
      <c r="C74" s="686">
        <f>C64/D64-1</f>
        <v>3.5940014674141096E-2</v>
      </c>
      <c r="D74" s="673">
        <f>D64/D64-1</f>
        <v>0</v>
      </c>
      <c r="E74" s="687">
        <f>E64/D64-1</f>
        <v>-3.5940014674141096E-2</v>
      </c>
      <c r="F74" s="675" t="str">
        <f>IF(ABS(C74)&gt;5%,"Áno","Nie")</f>
        <v>Nie</v>
      </c>
      <c r="G74" s="676" t="str">
        <f>IF(ABS(E74)&gt;5%,"Áno","Nie")</f>
        <v>Nie</v>
      </c>
    </row>
    <row r="75" spans="2:7" s="683" customFormat="1" ht="33" customHeight="1" thickBot="1">
      <c r="B75" s="677" t="str">
        <f>$B$14</f>
        <v>Vstupná premenná:
Zostatková hodnota</v>
      </c>
      <c r="C75" s="688">
        <f>C65/D65-1</f>
        <v>5.821670260609757E-3</v>
      </c>
      <c r="D75" s="679">
        <f>D65/D65-1</f>
        <v>0</v>
      </c>
      <c r="E75" s="689">
        <f>E65/D65-1</f>
        <v>-5.821670260609535E-3</v>
      </c>
      <c r="F75" s="678" t="str">
        <f>IF(ABS(C75)&gt;5%,"Áno","Nie")</f>
        <v>Nie</v>
      </c>
      <c r="G75" s="681" t="str">
        <f>IF(ABS(E75)&gt;5%,"Áno","Nie")</f>
        <v>Nie</v>
      </c>
    </row>
    <row r="108" spans="2:7" s="642" customFormat="1"/>
    <row r="109" spans="2:7" ht="13.5" thickBot="1"/>
    <row r="110" spans="2:7" ht="24" thickBot="1">
      <c r="B110" s="643" t="s">
        <v>550</v>
      </c>
      <c r="C110" s="644" t="s">
        <v>551</v>
      </c>
      <c r="D110" s="951" t="s">
        <v>551</v>
      </c>
      <c r="E110" s="645" t="s">
        <v>551</v>
      </c>
      <c r="F110" s="646"/>
      <c r="G110" s="647"/>
    </row>
    <row r="111" spans="2:7" ht="39" thickBot="1">
      <c r="B111" s="699"/>
      <c r="C111" s="648" t="s">
        <v>565</v>
      </c>
      <c r="D111" s="952"/>
      <c r="E111" s="649" t="s">
        <v>566</v>
      </c>
      <c r="F111" s="646"/>
      <c r="G111" s="647"/>
    </row>
    <row r="112" spans="2:7" s="683" customFormat="1" ht="39.75" customHeight="1">
      <c r="B112" s="666" t="str">
        <f>$B$11</f>
        <v>Vstupná premenná:
Investičné výdavky</v>
      </c>
      <c r="C112" s="690">
        <v>385771140.80146068</v>
      </c>
      <c r="D112" s="652">
        <f>$D$11</f>
        <v>419627150.14541209</v>
      </c>
      <c r="E112" s="657">
        <v>453483159.48936349</v>
      </c>
      <c r="F112" s="654"/>
      <c r="G112" s="682"/>
    </row>
    <row r="113" spans="2:7" s="683" customFormat="1" ht="39.75" customHeight="1">
      <c r="B113" s="666" t="str">
        <f>$B$12</f>
        <v>Vstupná premenná:
Prevádzkové výdavky</v>
      </c>
      <c r="C113" s="690">
        <v>460397200.83502471</v>
      </c>
      <c r="D113" s="652">
        <f>$D$12</f>
        <v>419627150.14541209</v>
      </c>
      <c r="E113" s="657">
        <v>378857099.45579958</v>
      </c>
      <c r="F113" s="654"/>
      <c r="G113" s="682"/>
    </row>
    <row r="114" spans="2:7" s="683" customFormat="1" ht="39.75" customHeight="1">
      <c r="B114" s="666" t="str">
        <f>$B$13</f>
        <v>Vstupná premenná:
Prevádzkové príjmy</v>
      </c>
      <c r="C114" s="691">
        <v>449789962.01320034</v>
      </c>
      <c r="D114" s="652">
        <f>$D$13</f>
        <v>419627150.14541209</v>
      </c>
      <c r="E114" s="692">
        <v>389464338.27762389</v>
      </c>
      <c r="F114" s="654"/>
    </row>
    <row r="115" spans="2:7" s="683" customFormat="1" ht="39.75" customHeight="1" thickBot="1">
      <c r="B115" s="677" t="str">
        <f>$B$14</f>
        <v>Vstupná premenná:
Zostatková hodnota</v>
      </c>
      <c r="C115" s="693">
        <v>424513011.94650394</v>
      </c>
      <c r="D115" s="660">
        <f>$D$14</f>
        <v>419627150.14541209</v>
      </c>
      <c r="E115" s="661">
        <v>414741288.34432024</v>
      </c>
      <c r="F115" s="654"/>
    </row>
    <row r="116" spans="2:7">
      <c r="B116" s="662"/>
      <c r="C116" s="654"/>
      <c r="D116" s="654"/>
      <c r="E116" s="654"/>
      <c r="F116" s="654"/>
      <c r="G116" s="655"/>
    </row>
    <row r="117" spans="2:7">
      <c r="B117" s="662"/>
      <c r="C117" s="654"/>
      <c r="D117" s="654"/>
      <c r="E117" s="654"/>
      <c r="F117" s="654"/>
      <c r="G117" s="655"/>
    </row>
    <row r="118" spans="2:7">
      <c r="B118" s="662"/>
      <c r="C118" s="654"/>
      <c r="D118" s="654"/>
      <c r="E118" s="654"/>
      <c r="F118" s="654"/>
      <c r="G118" s="655"/>
    </row>
    <row r="119" spans="2:7" ht="13.5" thickBot="1">
      <c r="B119" s="647"/>
      <c r="C119" s="647"/>
      <c r="D119" s="647"/>
      <c r="E119" s="647"/>
      <c r="F119" s="647"/>
      <c r="G119" s="655"/>
    </row>
    <row r="120" spans="2:7" ht="24" thickBot="1">
      <c r="B120" s="643" t="s">
        <v>558</v>
      </c>
      <c r="C120" s="644" t="s">
        <v>551</v>
      </c>
      <c r="D120" s="951" t="s">
        <v>551</v>
      </c>
      <c r="E120" s="663" t="s">
        <v>551</v>
      </c>
      <c r="F120" s="962" t="s">
        <v>567</v>
      </c>
      <c r="G120" s="964" t="s">
        <v>568</v>
      </c>
    </row>
    <row r="121" spans="2:7" ht="39" thickBot="1">
      <c r="B121" s="699"/>
      <c r="C121" s="664" t="str">
        <f>C111</f>
        <v xml:space="preserve">zmena FNPV_C 
pri 10% zmene vstupnej premennej
</v>
      </c>
      <c r="D121" s="952"/>
      <c r="E121" s="665" t="str">
        <f>E111</f>
        <v xml:space="preserve">zmena FNPV_C 
pri -10% zmene vstupnej premennej
</v>
      </c>
      <c r="F121" s="963"/>
      <c r="G121" s="965"/>
    </row>
    <row r="122" spans="2:7" s="683" customFormat="1" ht="31.5" customHeight="1">
      <c r="B122" s="666" t="str">
        <f>$B$11</f>
        <v>Vstupná premenná:
Investičné výdavky</v>
      </c>
      <c r="C122" s="667">
        <f>C112/D112-1</f>
        <v>-8.0681169777073292E-2</v>
      </c>
      <c r="D122" s="668">
        <f>D112/D112-1</f>
        <v>0</v>
      </c>
      <c r="E122" s="694">
        <f>E112/D112-1</f>
        <v>8.0681169777073292E-2</v>
      </c>
      <c r="F122" s="670" t="str">
        <f>IF(ABS(C122)&gt;10%,"Áno","Nie")</f>
        <v>Nie</v>
      </c>
      <c r="G122" s="671" t="str">
        <f>IF(ABS(E122)&gt;10%,"Áno","Nie")</f>
        <v>Nie</v>
      </c>
    </row>
    <row r="123" spans="2:7" s="683" customFormat="1" ht="31.5" customHeight="1">
      <c r="B123" s="666" t="str">
        <f>$B$12</f>
        <v>Vstupná premenná:
Prevádzkové výdavky</v>
      </c>
      <c r="C123" s="672">
        <f>C113/D113-1</f>
        <v>9.7157799907572118E-2</v>
      </c>
      <c r="D123" s="673">
        <f>D113/D113-1</f>
        <v>0</v>
      </c>
      <c r="E123" s="695">
        <f>E113/D113-1</f>
        <v>-9.7157799907571785E-2</v>
      </c>
      <c r="F123" s="675" t="str">
        <f>IF(ABS(C123)&gt;10%,"Áno","Nie")</f>
        <v>Nie</v>
      </c>
      <c r="G123" s="676" t="str">
        <f>IF(ABS(E123)&gt;10%,"Áno","Nie")</f>
        <v>Nie</v>
      </c>
    </row>
    <row r="124" spans="2:7" s="683" customFormat="1" ht="31.5" customHeight="1">
      <c r="B124" s="666" t="str">
        <f>$B$13</f>
        <v>Vstupná premenná:
Prevádzkové príjmy</v>
      </c>
      <c r="C124" s="672">
        <f>C114/D114-1</f>
        <v>7.1880029348282193E-2</v>
      </c>
      <c r="D124" s="673">
        <f>D114/D114-1</f>
        <v>0</v>
      </c>
      <c r="E124" s="695">
        <f>E114/D114-1</f>
        <v>-7.1880029348282082E-2</v>
      </c>
      <c r="F124" s="675" t="str">
        <f>IF(ABS(C124)&gt;10%,"Áno","Nie")</f>
        <v>Nie</v>
      </c>
      <c r="G124" s="676" t="str">
        <f>IF(ABS(E124)&gt;10%,"Áno","Nie")</f>
        <v>Nie</v>
      </c>
    </row>
    <row r="125" spans="2:7" s="683" customFormat="1" ht="31.5" customHeight="1" thickBot="1">
      <c r="B125" s="677" t="str">
        <f>$B$14</f>
        <v>Vstupná premenná:
Zostatková hodnota</v>
      </c>
      <c r="C125" s="678">
        <f>C115/D115-1</f>
        <v>1.1643340521219292E-2</v>
      </c>
      <c r="D125" s="679">
        <f>D115/D115-1</f>
        <v>0</v>
      </c>
      <c r="E125" s="681">
        <f>E115/D115-1</f>
        <v>-1.1643340521219292E-2</v>
      </c>
      <c r="F125" s="678" t="str">
        <f>IF(ABS(C125)&gt;10%,"Áno","Nie")</f>
        <v>Nie</v>
      </c>
      <c r="G125" s="681" t="str">
        <f>IF(ABS(E125)&gt;10%,"Áno","Nie")</f>
        <v>Nie</v>
      </c>
    </row>
    <row r="159" s="642" customFormat="1"/>
    <row r="160" ht="13.5" thickBot="1"/>
    <row r="161" spans="2:9" ht="27.75" customHeight="1">
      <c r="B161" s="966" t="s">
        <v>569</v>
      </c>
      <c r="C161" s="968" t="s">
        <v>570</v>
      </c>
      <c r="D161" s="971" t="s">
        <v>571</v>
      </c>
      <c r="E161" s="971" t="s">
        <v>572</v>
      </c>
      <c r="F161" s="971"/>
      <c r="G161" s="971"/>
      <c r="H161" s="971"/>
      <c r="I161" s="974"/>
    </row>
    <row r="162" spans="2:9" ht="27.75" customHeight="1" thickBot="1">
      <c r="B162" s="967"/>
      <c r="C162" s="969"/>
      <c r="D162" s="972"/>
      <c r="E162" s="972"/>
      <c r="F162" s="972"/>
      <c r="G162" s="972"/>
      <c r="H162" s="972"/>
      <c r="I162" s="975"/>
    </row>
    <row r="163" spans="2:9" ht="13.5" thickBot="1">
      <c r="B163" s="699"/>
      <c r="C163" s="970"/>
      <c r="D163" s="973"/>
      <c r="E163" s="973"/>
      <c r="F163" s="973"/>
      <c r="G163" s="973"/>
      <c r="H163" s="973"/>
      <c r="I163" s="976"/>
    </row>
    <row r="164" spans="2:9" ht="31.5" customHeight="1">
      <c r="B164" s="977" t="s">
        <v>551</v>
      </c>
      <c r="C164" s="816" t="str">
        <f>$B$11</f>
        <v>Vstupná premenná:
Investičné výdavky</v>
      </c>
      <c r="D164" s="696" t="s">
        <v>573</v>
      </c>
      <c r="E164" s="980" t="s">
        <v>574</v>
      </c>
      <c r="F164" s="980"/>
      <c r="G164" s="980"/>
      <c r="H164" s="980"/>
      <c r="I164" s="981"/>
    </row>
    <row r="165" spans="2:9" ht="48" customHeight="1">
      <c r="B165" s="978"/>
      <c r="C165" s="816" t="str">
        <f>$B$12</f>
        <v>Vstupná premenná:
Prevádzkové výdavky</v>
      </c>
      <c r="D165" s="696" t="s">
        <v>573</v>
      </c>
      <c r="E165" s="980" t="s">
        <v>574</v>
      </c>
      <c r="F165" s="980"/>
      <c r="G165" s="980"/>
      <c r="H165" s="980"/>
      <c r="I165" s="981"/>
    </row>
    <row r="166" spans="2:9" ht="31.5" customHeight="1">
      <c r="B166" s="978"/>
      <c r="C166" s="816" t="str">
        <f>$B$13</f>
        <v>Vstupná premenná:
Prevádzkové príjmy</v>
      </c>
      <c r="D166" s="697" t="s">
        <v>573</v>
      </c>
      <c r="E166" s="980" t="s">
        <v>574</v>
      </c>
      <c r="F166" s="980"/>
      <c r="G166" s="980"/>
      <c r="H166" s="980"/>
      <c r="I166" s="981"/>
    </row>
    <row r="167" spans="2:9" ht="31.5" customHeight="1" thickBot="1">
      <c r="B167" s="979"/>
      <c r="C167" s="817" t="str">
        <f>$B$14</f>
        <v>Vstupná premenná:
Zostatková hodnota</v>
      </c>
      <c r="D167" s="698" t="s">
        <v>573</v>
      </c>
      <c r="E167" s="982" t="s">
        <v>574</v>
      </c>
      <c r="F167" s="982"/>
      <c r="G167" s="982"/>
      <c r="H167" s="982"/>
      <c r="I167" s="983"/>
    </row>
  </sheetData>
  <sheetProtection algorithmName="SHA-512" hashValue="qU27eePxPZ6rezarUgSoadakwvgchQzG7/YI6Er91TvdU3gL7o1YEjqL9Kopi3UMZOa44nFR9YyMY6N7UT1tQg==" saltValue="nKt+iJunPEgmjOYpsqiW9A==" spinCount="100000" sheet="1" objects="1" scenarios="1"/>
  <mergeCells count="22">
    <mergeCell ref="B161:B162"/>
    <mergeCell ref="C161:C163"/>
    <mergeCell ref="D161:D163"/>
    <mergeCell ref="E161:I163"/>
    <mergeCell ref="B164:B167"/>
    <mergeCell ref="E164:I164"/>
    <mergeCell ref="E165:I165"/>
    <mergeCell ref="E166:I166"/>
    <mergeCell ref="E167:I167"/>
    <mergeCell ref="D70:D71"/>
    <mergeCell ref="F70:F71"/>
    <mergeCell ref="G70:G71"/>
    <mergeCell ref="D110:D111"/>
    <mergeCell ref="D120:D121"/>
    <mergeCell ref="F120:F121"/>
    <mergeCell ref="G120:G121"/>
    <mergeCell ref="D60:D61"/>
    <mergeCell ref="B2:S5"/>
    <mergeCell ref="D9:D10"/>
    <mergeCell ref="D19:D20"/>
    <mergeCell ref="F19:F20"/>
    <mergeCell ref="G19:G20"/>
  </mergeCells>
  <conditionalFormatting sqref="F21:G24 F72:G75 F122:G125">
    <cfRule type="cellIs" dxfId="11" priority="1" operator="equal">
      <formula>"Áno"</formula>
    </cfRule>
  </conditionalFormatting>
  <pageMargins left="0.7" right="0.7" top="0.75" bottom="0.75" header="0.3" footer="0.3"/>
  <pageSetup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9824F-D2E1-6C42-BDC6-E87A85E1DF9F}">
  <sheetPr>
    <tabColor rgb="FF0070C0"/>
  </sheetPr>
  <dimension ref="B1:U198"/>
  <sheetViews>
    <sheetView zoomScale="80" zoomScaleNormal="80" workbookViewId="0">
      <pane ySplit="5" topLeftCell="A148" activePane="bottomLeft" state="frozen"/>
      <selection pane="bottomLeft" activeCell="B190" sqref="B190:I198"/>
    </sheetView>
  </sheetViews>
  <sheetFormatPr defaultColWidth="8.85546875" defaultRowHeight="12.75"/>
  <cols>
    <col min="1" max="1" width="0.85546875" style="641" customWidth="1"/>
    <col min="2" max="2" width="71.28515625" style="641" customWidth="1"/>
    <col min="3" max="3" width="48.7109375" style="641" customWidth="1"/>
    <col min="4" max="4" width="45.140625" style="641" customWidth="1"/>
    <col min="5" max="5" width="33" style="641" customWidth="1"/>
    <col min="6" max="6" width="22.85546875" style="641" customWidth="1"/>
    <col min="7" max="7" width="23.42578125" style="641" customWidth="1"/>
    <col min="8" max="253" width="8.85546875" style="641"/>
    <col min="254" max="254" width="0.85546875" style="641" customWidth="1"/>
    <col min="255" max="255" width="54.7109375" style="641" customWidth="1"/>
    <col min="256" max="256" width="48.7109375" style="641" customWidth="1"/>
    <col min="257" max="257" width="35.42578125" style="641" customWidth="1"/>
    <col min="258" max="258" width="45.140625" style="641" customWidth="1"/>
    <col min="259" max="259" width="34.42578125" style="641" customWidth="1"/>
    <col min="260" max="260" width="33" style="641" customWidth="1"/>
    <col min="261" max="261" width="35.42578125" style="641" customWidth="1"/>
    <col min="262" max="262" width="22.85546875" style="641" customWidth="1"/>
    <col min="263" max="263" width="23.42578125" style="641" customWidth="1"/>
    <col min="264" max="509" width="8.85546875" style="641"/>
    <col min="510" max="510" width="0.85546875" style="641" customWidth="1"/>
    <col min="511" max="511" width="54.7109375" style="641" customWidth="1"/>
    <col min="512" max="512" width="48.7109375" style="641" customWidth="1"/>
    <col min="513" max="513" width="35.42578125" style="641" customWidth="1"/>
    <col min="514" max="514" width="45.140625" style="641" customWidth="1"/>
    <col min="515" max="515" width="34.42578125" style="641" customWidth="1"/>
    <col min="516" max="516" width="33" style="641" customWidth="1"/>
    <col min="517" max="517" width="35.42578125" style="641" customWidth="1"/>
    <col min="518" max="518" width="22.85546875" style="641" customWidth="1"/>
    <col min="519" max="519" width="23.42578125" style="641" customWidth="1"/>
    <col min="520" max="765" width="8.85546875" style="641"/>
    <col min="766" max="766" width="0.85546875" style="641" customWidth="1"/>
    <col min="767" max="767" width="54.7109375" style="641" customWidth="1"/>
    <col min="768" max="768" width="48.7109375" style="641" customWidth="1"/>
    <col min="769" max="769" width="35.42578125" style="641" customWidth="1"/>
    <col min="770" max="770" width="45.140625" style="641" customWidth="1"/>
    <col min="771" max="771" width="34.42578125" style="641" customWidth="1"/>
    <col min="772" max="772" width="33" style="641" customWidth="1"/>
    <col min="773" max="773" width="35.42578125" style="641" customWidth="1"/>
    <col min="774" max="774" width="22.85546875" style="641" customWidth="1"/>
    <col min="775" max="775" width="23.42578125" style="641" customWidth="1"/>
    <col min="776" max="1021" width="8.85546875" style="641"/>
    <col min="1022" max="1022" width="0.85546875" style="641" customWidth="1"/>
    <col min="1023" max="1023" width="54.7109375" style="641" customWidth="1"/>
    <col min="1024" max="1024" width="48.7109375" style="641" customWidth="1"/>
    <col min="1025" max="1025" width="35.42578125" style="641" customWidth="1"/>
    <col min="1026" max="1026" width="45.140625" style="641" customWidth="1"/>
    <col min="1027" max="1027" width="34.42578125" style="641" customWidth="1"/>
    <col min="1028" max="1028" width="33" style="641" customWidth="1"/>
    <col min="1029" max="1029" width="35.42578125" style="641" customWidth="1"/>
    <col min="1030" max="1030" width="22.85546875" style="641" customWidth="1"/>
    <col min="1031" max="1031" width="23.42578125" style="641" customWidth="1"/>
    <col min="1032" max="1277" width="8.85546875" style="641"/>
    <col min="1278" max="1278" width="0.85546875" style="641" customWidth="1"/>
    <col min="1279" max="1279" width="54.7109375" style="641" customWidth="1"/>
    <col min="1280" max="1280" width="48.7109375" style="641" customWidth="1"/>
    <col min="1281" max="1281" width="35.42578125" style="641" customWidth="1"/>
    <col min="1282" max="1282" width="45.140625" style="641" customWidth="1"/>
    <col min="1283" max="1283" width="34.42578125" style="641" customWidth="1"/>
    <col min="1284" max="1284" width="33" style="641" customWidth="1"/>
    <col min="1285" max="1285" width="35.42578125" style="641" customWidth="1"/>
    <col min="1286" max="1286" width="22.85546875" style="641" customWidth="1"/>
    <col min="1287" max="1287" width="23.42578125" style="641" customWidth="1"/>
    <col min="1288" max="1533" width="8.85546875" style="641"/>
    <col min="1534" max="1534" width="0.85546875" style="641" customWidth="1"/>
    <col min="1535" max="1535" width="54.7109375" style="641" customWidth="1"/>
    <col min="1536" max="1536" width="48.7109375" style="641" customWidth="1"/>
    <col min="1537" max="1537" width="35.42578125" style="641" customWidth="1"/>
    <col min="1538" max="1538" width="45.140625" style="641" customWidth="1"/>
    <col min="1539" max="1539" width="34.42578125" style="641" customWidth="1"/>
    <col min="1540" max="1540" width="33" style="641" customWidth="1"/>
    <col min="1541" max="1541" width="35.42578125" style="641" customWidth="1"/>
    <col min="1542" max="1542" width="22.85546875" style="641" customWidth="1"/>
    <col min="1543" max="1543" width="23.42578125" style="641" customWidth="1"/>
    <col min="1544" max="1789" width="8.85546875" style="641"/>
    <col min="1790" max="1790" width="0.85546875" style="641" customWidth="1"/>
    <col min="1791" max="1791" width="54.7109375" style="641" customWidth="1"/>
    <col min="1792" max="1792" width="48.7109375" style="641" customWidth="1"/>
    <col min="1793" max="1793" width="35.42578125" style="641" customWidth="1"/>
    <col min="1794" max="1794" width="45.140625" style="641" customWidth="1"/>
    <col min="1795" max="1795" width="34.42578125" style="641" customWidth="1"/>
    <col min="1796" max="1796" width="33" style="641" customWidth="1"/>
    <col min="1797" max="1797" width="35.42578125" style="641" customWidth="1"/>
    <col min="1798" max="1798" width="22.85546875" style="641" customWidth="1"/>
    <col min="1799" max="1799" width="23.42578125" style="641" customWidth="1"/>
    <col min="1800" max="2045" width="8.85546875" style="641"/>
    <col min="2046" max="2046" width="0.85546875" style="641" customWidth="1"/>
    <col min="2047" max="2047" width="54.7109375" style="641" customWidth="1"/>
    <col min="2048" max="2048" width="48.7109375" style="641" customWidth="1"/>
    <col min="2049" max="2049" width="35.42578125" style="641" customWidth="1"/>
    <col min="2050" max="2050" width="45.140625" style="641" customWidth="1"/>
    <col min="2051" max="2051" width="34.42578125" style="641" customWidth="1"/>
    <col min="2052" max="2052" width="33" style="641" customWidth="1"/>
    <col min="2053" max="2053" width="35.42578125" style="641" customWidth="1"/>
    <col min="2054" max="2054" width="22.85546875" style="641" customWidth="1"/>
    <col min="2055" max="2055" width="23.42578125" style="641" customWidth="1"/>
    <col min="2056" max="2301" width="8.85546875" style="641"/>
    <col min="2302" max="2302" width="0.85546875" style="641" customWidth="1"/>
    <col min="2303" max="2303" width="54.7109375" style="641" customWidth="1"/>
    <col min="2304" max="2304" width="48.7109375" style="641" customWidth="1"/>
    <col min="2305" max="2305" width="35.42578125" style="641" customWidth="1"/>
    <col min="2306" max="2306" width="45.140625" style="641" customWidth="1"/>
    <col min="2307" max="2307" width="34.42578125" style="641" customWidth="1"/>
    <col min="2308" max="2308" width="33" style="641" customWidth="1"/>
    <col min="2309" max="2309" width="35.42578125" style="641" customWidth="1"/>
    <col min="2310" max="2310" width="22.85546875" style="641" customWidth="1"/>
    <col min="2311" max="2311" width="23.42578125" style="641" customWidth="1"/>
    <col min="2312" max="2557" width="8.85546875" style="641"/>
    <col min="2558" max="2558" width="0.85546875" style="641" customWidth="1"/>
    <col min="2559" max="2559" width="54.7109375" style="641" customWidth="1"/>
    <col min="2560" max="2560" width="48.7109375" style="641" customWidth="1"/>
    <col min="2561" max="2561" width="35.42578125" style="641" customWidth="1"/>
    <col min="2562" max="2562" width="45.140625" style="641" customWidth="1"/>
    <col min="2563" max="2563" width="34.42578125" style="641" customWidth="1"/>
    <col min="2564" max="2564" width="33" style="641" customWidth="1"/>
    <col min="2565" max="2565" width="35.42578125" style="641" customWidth="1"/>
    <col min="2566" max="2566" width="22.85546875" style="641" customWidth="1"/>
    <col min="2567" max="2567" width="23.42578125" style="641" customWidth="1"/>
    <col min="2568" max="2813" width="8.85546875" style="641"/>
    <col min="2814" max="2814" width="0.85546875" style="641" customWidth="1"/>
    <col min="2815" max="2815" width="54.7109375" style="641" customWidth="1"/>
    <col min="2816" max="2816" width="48.7109375" style="641" customWidth="1"/>
    <col min="2817" max="2817" width="35.42578125" style="641" customWidth="1"/>
    <col min="2818" max="2818" width="45.140625" style="641" customWidth="1"/>
    <col min="2819" max="2819" width="34.42578125" style="641" customWidth="1"/>
    <col min="2820" max="2820" width="33" style="641" customWidth="1"/>
    <col min="2821" max="2821" width="35.42578125" style="641" customWidth="1"/>
    <col min="2822" max="2822" width="22.85546875" style="641" customWidth="1"/>
    <col min="2823" max="2823" width="23.42578125" style="641" customWidth="1"/>
    <col min="2824" max="3069" width="8.85546875" style="641"/>
    <col min="3070" max="3070" width="0.85546875" style="641" customWidth="1"/>
    <col min="3071" max="3071" width="54.7109375" style="641" customWidth="1"/>
    <col min="3072" max="3072" width="48.7109375" style="641" customWidth="1"/>
    <col min="3073" max="3073" width="35.42578125" style="641" customWidth="1"/>
    <col min="3074" max="3074" width="45.140625" style="641" customWidth="1"/>
    <col min="3075" max="3075" width="34.42578125" style="641" customWidth="1"/>
    <col min="3076" max="3076" width="33" style="641" customWidth="1"/>
    <col min="3077" max="3077" width="35.42578125" style="641" customWidth="1"/>
    <col min="3078" max="3078" width="22.85546875" style="641" customWidth="1"/>
    <col min="3079" max="3079" width="23.42578125" style="641" customWidth="1"/>
    <col min="3080" max="3325" width="8.85546875" style="641"/>
    <col min="3326" max="3326" width="0.85546875" style="641" customWidth="1"/>
    <col min="3327" max="3327" width="54.7109375" style="641" customWidth="1"/>
    <col min="3328" max="3328" width="48.7109375" style="641" customWidth="1"/>
    <col min="3329" max="3329" width="35.42578125" style="641" customWidth="1"/>
    <col min="3330" max="3330" width="45.140625" style="641" customWidth="1"/>
    <col min="3331" max="3331" width="34.42578125" style="641" customWidth="1"/>
    <col min="3332" max="3332" width="33" style="641" customWidth="1"/>
    <col min="3333" max="3333" width="35.42578125" style="641" customWidth="1"/>
    <col min="3334" max="3334" width="22.85546875" style="641" customWidth="1"/>
    <col min="3335" max="3335" width="23.42578125" style="641" customWidth="1"/>
    <col min="3336" max="3581" width="8.85546875" style="641"/>
    <col min="3582" max="3582" width="0.85546875" style="641" customWidth="1"/>
    <col min="3583" max="3583" width="54.7109375" style="641" customWidth="1"/>
    <col min="3584" max="3584" width="48.7109375" style="641" customWidth="1"/>
    <col min="3585" max="3585" width="35.42578125" style="641" customWidth="1"/>
    <col min="3586" max="3586" width="45.140625" style="641" customWidth="1"/>
    <col min="3587" max="3587" width="34.42578125" style="641" customWidth="1"/>
    <col min="3588" max="3588" width="33" style="641" customWidth="1"/>
    <col min="3589" max="3589" width="35.42578125" style="641" customWidth="1"/>
    <col min="3590" max="3590" width="22.85546875" style="641" customWidth="1"/>
    <col min="3591" max="3591" width="23.42578125" style="641" customWidth="1"/>
    <col min="3592" max="3837" width="8.85546875" style="641"/>
    <col min="3838" max="3838" width="0.85546875" style="641" customWidth="1"/>
    <col min="3839" max="3839" width="54.7109375" style="641" customWidth="1"/>
    <col min="3840" max="3840" width="48.7109375" style="641" customWidth="1"/>
    <col min="3841" max="3841" width="35.42578125" style="641" customWidth="1"/>
    <col min="3842" max="3842" width="45.140625" style="641" customWidth="1"/>
    <col min="3843" max="3843" width="34.42578125" style="641" customWidth="1"/>
    <col min="3844" max="3844" width="33" style="641" customWidth="1"/>
    <col min="3845" max="3845" width="35.42578125" style="641" customWidth="1"/>
    <col min="3846" max="3846" width="22.85546875" style="641" customWidth="1"/>
    <col min="3847" max="3847" width="23.42578125" style="641" customWidth="1"/>
    <col min="3848" max="4093" width="8.85546875" style="641"/>
    <col min="4094" max="4094" width="0.85546875" style="641" customWidth="1"/>
    <col min="4095" max="4095" width="54.7109375" style="641" customWidth="1"/>
    <col min="4096" max="4096" width="48.7109375" style="641" customWidth="1"/>
    <col min="4097" max="4097" width="35.42578125" style="641" customWidth="1"/>
    <col min="4098" max="4098" width="45.140625" style="641" customWidth="1"/>
    <col min="4099" max="4099" width="34.42578125" style="641" customWidth="1"/>
    <col min="4100" max="4100" width="33" style="641" customWidth="1"/>
    <col min="4101" max="4101" width="35.42578125" style="641" customWidth="1"/>
    <col min="4102" max="4102" width="22.85546875" style="641" customWidth="1"/>
    <col min="4103" max="4103" width="23.42578125" style="641" customWidth="1"/>
    <col min="4104" max="4349" width="8.85546875" style="641"/>
    <col min="4350" max="4350" width="0.85546875" style="641" customWidth="1"/>
    <col min="4351" max="4351" width="54.7109375" style="641" customWidth="1"/>
    <col min="4352" max="4352" width="48.7109375" style="641" customWidth="1"/>
    <col min="4353" max="4353" width="35.42578125" style="641" customWidth="1"/>
    <col min="4354" max="4354" width="45.140625" style="641" customWidth="1"/>
    <col min="4355" max="4355" width="34.42578125" style="641" customWidth="1"/>
    <col min="4356" max="4356" width="33" style="641" customWidth="1"/>
    <col min="4357" max="4357" width="35.42578125" style="641" customWidth="1"/>
    <col min="4358" max="4358" width="22.85546875" style="641" customWidth="1"/>
    <col min="4359" max="4359" width="23.42578125" style="641" customWidth="1"/>
    <col min="4360" max="4605" width="8.85546875" style="641"/>
    <col min="4606" max="4606" width="0.85546875" style="641" customWidth="1"/>
    <col min="4607" max="4607" width="54.7109375" style="641" customWidth="1"/>
    <col min="4608" max="4608" width="48.7109375" style="641" customWidth="1"/>
    <col min="4609" max="4609" width="35.42578125" style="641" customWidth="1"/>
    <col min="4610" max="4610" width="45.140625" style="641" customWidth="1"/>
    <col min="4611" max="4611" width="34.42578125" style="641" customWidth="1"/>
    <col min="4612" max="4612" width="33" style="641" customWidth="1"/>
    <col min="4613" max="4613" width="35.42578125" style="641" customWidth="1"/>
    <col min="4614" max="4614" width="22.85546875" style="641" customWidth="1"/>
    <col min="4615" max="4615" width="23.42578125" style="641" customWidth="1"/>
    <col min="4616" max="4861" width="8.85546875" style="641"/>
    <col min="4862" max="4862" width="0.85546875" style="641" customWidth="1"/>
    <col min="4863" max="4863" width="54.7109375" style="641" customWidth="1"/>
    <col min="4864" max="4864" width="48.7109375" style="641" customWidth="1"/>
    <col min="4865" max="4865" width="35.42578125" style="641" customWidth="1"/>
    <col min="4866" max="4866" width="45.140625" style="641" customWidth="1"/>
    <col min="4867" max="4867" width="34.42578125" style="641" customWidth="1"/>
    <col min="4868" max="4868" width="33" style="641" customWidth="1"/>
    <col min="4869" max="4869" width="35.42578125" style="641" customWidth="1"/>
    <col min="4870" max="4870" width="22.85546875" style="641" customWidth="1"/>
    <col min="4871" max="4871" width="23.42578125" style="641" customWidth="1"/>
    <col min="4872" max="5117" width="8.85546875" style="641"/>
    <col min="5118" max="5118" width="0.85546875" style="641" customWidth="1"/>
    <col min="5119" max="5119" width="54.7109375" style="641" customWidth="1"/>
    <col min="5120" max="5120" width="48.7109375" style="641" customWidth="1"/>
    <col min="5121" max="5121" width="35.42578125" style="641" customWidth="1"/>
    <col min="5122" max="5122" width="45.140625" style="641" customWidth="1"/>
    <col min="5123" max="5123" width="34.42578125" style="641" customWidth="1"/>
    <col min="5124" max="5124" width="33" style="641" customWidth="1"/>
    <col min="5125" max="5125" width="35.42578125" style="641" customWidth="1"/>
    <col min="5126" max="5126" width="22.85546875" style="641" customWidth="1"/>
    <col min="5127" max="5127" width="23.42578125" style="641" customWidth="1"/>
    <col min="5128" max="5373" width="8.85546875" style="641"/>
    <col min="5374" max="5374" width="0.85546875" style="641" customWidth="1"/>
    <col min="5375" max="5375" width="54.7109375" style="641" customWidth="1"/>
    <col min="5376" max="5376" width="48.7109375" style="641" customWidth="1"/>
    <col min="5377" max="5377" width="35.42578125" style="641" customWidth="1"/>
    <col min="5378" max="5378" width="45.140625" style="641" customWidth="1"/>
    <col min="5379" max="5379" width="34.42578125" style="641" customWidth="1"/>
    <col min="5380" max="5380" width="33" style="641" customWidth="1"/>
    <col min="5381" max="5381" width="35.42578125" style="641" customWidth="1"/>
    <col min="5382" max="5382" width="22.85546875" style="641" customWidth="1"/>
    <col min="5383" max="5383" width="23.42578125" style="641" customWidth="1"/>
    <col min="5384" max="5629" width="8.85546875" style="641"/>
    <col min="5630" max="5630" width="0.85546875" style="641" customWidth="1"/>
    <col min="5631" max="5631" width="54.7109375" style="641" customWidth="1"/>
    <col min="5632" max="5632" width="48.7109375" style="641" customWidth="1"/>
    <col min="5633" max="5633" width="35.42578125" style="641" customWidth="1"/>
    <col min="5634" max="5634" width="45.140625" style="641" customWidth="1"/>
    <col min="5635" max="5635" width="34.42578125" style="641" customWidth="1"/>
    <col min="5636" max="5636" width="33" style="641" customWidth="1"/>
    <col min="5637" max="5637" width="35.42578125" style="641" customWidth="1"/>
    <col min="5638" max="5638" width="22.85546875" style="641" customWidth="1"/>
    <col min="5639" max="5639" width="23.42578125" style="641" customWidth="1"/>
    <col min="5640" max="5885" width="8.85546875" style="641"/>
    <col min="5886" max="5886" width="0.85546875" style="641" customWidth="1"/>
    <col min="5887" max="5887" width="54.7109375" style="641" customWidth="1"/>
    <col min="5888" max="5888" width="48.7109375" style="641" customWidth="1"/>
    <col min="5889" max="5889" width="35.42578125" style="641" customWidth="1"/>
    <col min="5890" max="5890" width="45.140625" style="641" customWidth="1"/>
    <col min="5891" max="5891" width="34.42578125" style="641" customWidth="1"/>
    <col min="5892" max="5892" width="33" style="641" customWidth="1"/>
    <col min="5893" max="5893" width="35.42578125" style="641" customWidth="1"/>
    <col min="5894" max="5894" width="22.85546875" style="641" customWidth="1"/>
    <col min="5895" max="5895" width="23.42578125" style="641" customWidth="1"/>
    <col min="5896" max="6141" width="8.85546875" style="641"/>
    <col min="6142" max="6142" width="0.85546875" style="641" customWidth="1"/>
    <col min="6143" max="6143" width="54.7109375" style="641" customWidth="1"/>
    <col min="6144" max="6144" width="48.7109375" style="641" customWidth="1"/>
    <col min="6145" max="6145" width="35.42578125" style="641" customWidth="1"/>
    <col min="6146" max="6146" width="45.140625" style="641" customWidth="1"/>
    <col min="6147" max="6147" width="34.42578125" style="641" customWidth="1"/>
    <col min="6148" max="6148" width="33" style="641" customWidth="1"/>
    <col min="6149" max="6149" width="35.42578125" style="641" customWidth="1"/>
    <col min="6150" max="6150" width="22.85546875" style="641" customWidth="1"/>
    <col min="6151" max="6151" width="23.42578125" style="641" customWidth="1"/>
    <col min="6152" max="6397" width="8.85546875" style="641"/>
    <col min="6398" max="6398" width="0.85546875" style="641" customWidth="1"/>
    <col min="6399" max="6399" width="54.7109375" style="641" customWidth="1"/>
    <col min="6400" max="6400" width="48.7109375" style="641" customWidth="1"/>
    <col min="6401" max="6401" width="35.42578125" style="641" customWidth="1"/>
    <col min="6402" max="6402" width="45.140625" style="641" customWidth="1"/>
    <col min="6403" max="6403" width="34.42578125" style="641" customWidth="1"/>
    <col min="6404" max="6404" width="33" style="641" customWidth="1"/>
    <col min="6405" max="6405" width="35.42578125" style="641" customWidth="1"/>
    <col min="6406" max="6406" width="22.85546875" style="641" customWidth="1"/>
    <col min="6407" max="6407" width="23.42578125" style="641" customWidth="1"/>
    <col min="6408" max="6653" width="8.85546875" style="641"/>
    <col min="6654" max="6654" width="0.85546875" style="641" customWidth="1"/>
    <col min="6655" max="6655" width="54.7109375" style="641" customWidth="1"/>
    <col min="6656" max="6656" width="48.7109375" style="641" customWidth="1"/>
    <col min="6657" max="6657" width="35.42578125" style="641" customWidth="1"/>
    <col min="6658" max="6658" width="45.140625" style="641" customWidth="1"/>
    <col min="6659" max="6659" width="34.42578125" style="641" customWidth="1"/>
    <col min="6660" max="6660" width="33" style="641" customWidth="1"/>
    <col min="6661" max="6661" width="35.42578125" style="641" customWidth="1"/>
    <col min="6662" max="6662" width="22.85546875" style="641" customWidth="1"/>
    <col min="6663" max="6663" width="23.42578125" style="641" customWidth="1"/>
    <col min="6664" max="6909" width="8.85546875" style="641"/>
    <col min="6910" max="6910" width="0.85546875" style="641" customWidth="1"/>
    <col min="6911" max="6911" width="54.7109375" style="641" customWidth="1"/>
    <col min="6912" max="6912" width="48.7109375" style="641" customWidth="1"/>
    <col min="6913" max="6913" width="35.42578125" style="641" customWidth="1"/>
    <col min="6914" max="6914" width="45.140625" style="641" customWidth="1"/>
    <col min="6915" max="6915" width="34.42578125" style="641" customWidth="1"/>
    <col min="6916" max="6916" width="33" style="641" customWidth="1"/>
    <col min="6917" max="6917" width="35.42578125" style="641" customWidth="1"/>
    <col min="6918" max="6918" width="22.85546875" style="641" customWidth="1"/>
    <col min="6919" max="6919" width="23.42578125" style="641" customWidth="1"/>
    <col min="6920" max="7165" width="8.85546875" style="641"/>
    <col min="7166" max="7166" width="0.85546875" style="641" customWidth="1"/>
    <col min="7167" max="7167" width="54.7109375" style="641" customWidth="1"/>
    <col min="7168" max="7168" width="48.7109375" style="641" customWidth="1"/>
    <col min="7169" max="7169" width="35.42578125" style="641" customWidth="1"/>
    <col min="7170" max="7170" width="45.140625" style="641" customWidth="1"/>
    <col min="7171" max="7171" width="34.42578125" style="641" customWidth="1"/>
    <col min="7172" max="7172" width="33" style="641" customWidth="1"/>
    <col min="7173" max="7173" width="35.42578125" style="641" customWidth="1"/>
    <col min="7174" max="7174" width="22.85546875" style="641" customWidth="1"/>
    <col min="7175" max="7175" width="23.42578125" style="641" customWidth="1"/>
    <col min="7176" max="7421" width="8.85546875" style="641"/>
    <col min="7422" max="7422" width="0.85546875" style="641" customWidth="1"/>
    <col min="7423" max="7423" width="54.7109375" style="641" customWidth="1"/>
    <col min="7424" max="7424" width="48.7109375" style="641" customWidth="1"/>
    <col min="7425" max="7425" width="35.42578125" style="641" customWidth="1"/>
    <col min="7426" max="7426" width="45.140625" style="641" customWidth="1"/>
    <col min="7427" max="7427" width="34.42578125" style="641" customWidth="1"/>
    <col min="7428" max="7428" width="33" style="641" customWidth="1"/>
    <col min="7429" max="7429" width="35.42578125" style="641" customWidth="1"/>
    <col min="7430" max="7430" width="22.85546875" style="641" customWidth="1"/>
    <col min="7431" max="7431" width="23.42578125" style="641" customWidth="1"/>
    <col min="7432" max="7677" width="8.85546875" style="641"/>
    <col min="7678" max="7678" width="0.85546875" style="641" customWidth="1"/>
    <col min="7679" max="7679" width="54.7109375" style="641" customWidth="1"/>
    <col min="7680" max="7680" width="48.7109375" style="641" customWidth="1"/>
    <col min="7681" max="7681" width="35.42578125" style="641" customWidth="1"/>
    <col min="7682" max="7682" width="45.140625" style="641" customWidth="1"/>
    <col min="7683" max="7683" width="34.42578125" style="641" customWidth="1"/>
    <col min="7684" max="7684" width="33" style="641" customWidth="1"/>
    <col min="7685" max="7685" width="35.42578125" style="641" customWidth="1"/>
    <col min="7686" max="7686" width="22.85546875" style="641" customWidth="1"/>
    <col min="7687" max="7687" width="23.42578125" style="641" customWidth="1"/>
    <col min="7688" max="7933" width="8.85546875" style="641"/>
    <col min="7934" max="7934" width="0.85546875" style="641" customWidth="1"/>
    <col min="7935" max="7935" width="54.7109375" style="641" customWidth="1"/>
    <col min="7936" max="7936" width="48.7109375" style="641" customWidth="1"/>
    <col min="7937" max="7937" width="35.42578125" style="641" customWidth="1"/>
    <col min="7938" max="7938" width="45.140625" style="641" customWidth="1"/>
    <col min="7939" max="7939" width="34.42578125" style="641" customWidth="1"/>
    <col min="7940" max="7940" width="33" style="641" customWidth="1"/>
    <col min="7941" max="7941" width="35.42578125" style="641" customWidth="1"/>
    <col min="7942" max="7942" width="22.85546875" style="641" customWidth="1"/>
    <col min="7943" max="7943" width="23.42578125" style="641" customWidth="1"/>
    <col min="7944" max="8189" width="8.85546875" style="641"/>
    <col min="8190" max="8190" width="0.85546875" style="641" customWidth="1"/>
    <col min="8191" max="8191" width="54.7109375" style="641" customWidth="1"/>
    <col min="8192" max="8192" width="48.7109375" style="641" customWidth="1"/>
    <col min="8193" max="8193" width="35.42578125" style="641" customWidth="1"/>
    <col min="8194" max="8194" width="45.140625" style="641" customWidth="1"/>
    <col min="8195" max="8195" width="34.42578125" style="641" customWidth="1"/>
    <col min="8196" max="8196" width="33" style="641" customWidth="1"/>
    <col min="8197" max="8197" width="35.42578125" style="641" customWidth="1"/>
    <col min="8198" max="8198" width="22.85546875" style="641" customWidth="1"/>
    <col min="8199" max="8199" width="23.42578125" style="641" customWidth="1"/>
    <col min="8200" max="8445" width="8.85546875" style="641"/>
    <col min="8446" max="8446" width="0.85546875" style="641" customWidth="1"/>
    <col min="8447" max="8447" width="54.7109375" style="641" customWidth="1"/>
    <col min="8448" max="8448" width="48.7109375" style="641" customWidth="1"/>
    <col min="8449" max="8449" width="35.42578125" style="641" customWidth="1"/>
    <col min="8450" max="8450" width="45.140625" style="641" customWidth="1"/>
    <col min="8451" max="8451" width="34.42578125" style="641" customWidth="1"/>
    <col min="8452" max="8452" width="33" style="641" customWidth="1"/>
    <col min="8453" max="8453" width="35.42578125" style="641" customWidth="1"/>
    <col min="8454" max="8454" width="22.85546875" style="641" customWidth="1"/>
    <col min="8455" max="8455" width="23.42578125" style="641" customWidth="1"/>
    <col min="8456" max="8701" width="8.85546875" style="641"/>
    <col min="8702" max="8702" width="0.85546875" style="641" customWidth="1"/>
    <col min="8703" max="8703" width="54.7109375" style="641" customWidth="1"/>
    <col min="8704" max="8704" width="48.7109375" style="641" customWidth="1"/>
    <col min="8705" max="8705" width="35.42578125" style="641" customWidth="1"/>
    <col min="8706" max="8706" width="45.140625" style="641" customWidth="1"/>
    <col min="8707" max="8707" width="34.42578125" style="641" customWidth="1"/>
    <col min="8708" max="8708" width="33" style="641" customWidth="1"/>
    <col min="8709" max="8709" width="35.42578125" style="641" customWidth="1"/>
    <col min="8710" max="8710" width="22.85546875" style="641" customWidth="1"/>
    <col min="8711" max="8711" width="23.42578125" style="641" customWidth="1"/>
    <col min="8712" max="8957" width="8.85546875" style="641"/>
    <col min="8958" max="8958" width="0.85546875" style="641" customWidth="1"/>
    <col min="8959" max="8959" width="54.7109375" style="641" customWidth="1"/>
    <col min="8960" max="8960" width="48.7109375" style="641" customWidth="1"/>
    <col min="8961" max="8961" width="35.42578125" style="641" customWidth="1"/>
    <col min="8962" max="8962" width="45.140625" style="641" customWidth="1"/>
    <col min="8963" max="8963" width="34.42578125" style="641" customWidth="1"/>
    <col min="8964" max="8964" width="33" style="641" customWidth="1"/>
    <col min="8965" max="8965" width="35.42578125" style="641" customWidth="1"/>
    <col min="8966" max="8966" width="22.85546875" style="641" customWidth="1"/>
    <col min="8967" max="8967" width="23.42578125" style="641" customWidth="1"/>
    <col min="8968" max="9213" width="8.85546875" style="641"/>
    <col min="9214" max="9214" width="0.85546875" style="641" customWidth="1"/>
    <col min="9215" max="9215" width="54.7109375" style="641" customWidth="1"/>
    <col min="9216" max="9216" width="48.7109375" style="641" customWidth="1"/>
    <col min="9217" max="9217" width="35.42578125" style="641" customWidth="1"/>
    <col min="9218" max="9218" width="45.140625" style="641" customWidth="1"/>
    <col min="9219" max="9219" width="34.42578125" style="641" customWidth="1"/>
    <col min="9220" max="9220" width="33" style="641" customWidth="1"/>
    <col min="9221" max="9221" width="35.42578125" style="641" customWidth="1"/>
    <col min="9222" max="9222" width="22.85546875" style="641" customWidth="1"/>
    <col min="9223" max="9223" width="23.42578125" style="641" customWidth="1"/>
    <col min="9224" max="9469" width="8.85546875" style="641"/>
    <col min="9470" max="9470" width="0.85546875" style="641" customWidth="1"/>
    <col min="9471" max="9471" width="54.7109375" style="641" customWidth="1"/>
    <col min="9472" max="9472" width="48.7109375" style="641" customWidth="1"/>
    <col min="9473" max="9473" width="35.42578125" style="641" customWidth="1"/>
    <col min="9474" max="9474" width="45.140625" style="641" customWidth="1"/>
    <col min="9475" max="9475" width="34.42578125" style="641" customWidth="1"/>
    <col min="9476" max="9476" width="33" style="641" customWidth="1"/>
    <col min="9477" max="9477" width="35.42578125" style="641" customWidth="1"/>
    <col min="9478" max="9478" width="22.85546875" style="641" customWidth="1"/>
    <col min="9479" max="9479" width="23.42578125" style="641" customWidth="1"/>
    <col min="9480" max="9725" width="8.85546875" style="641"/>
    <col min="9726" max="9726" width="0.85546875" style="641" customWidth="1"/>
    <col min="9727" max="9727" width="54.7109375" style="641" customWidth="1"/>
    <col min="9728" max="9728" width="48.7109375" style="641" customWidth="1"/>
    <col min="9729" max="9729" width="35.42578125" style="641" customWidth="1"/>
    <col min="9730" max="9730" width="45.140625" style="641" customWidth="1"/>
    <col min="9731" max="9731" width="34.42578125" style="641" customWidth="1"/>
    <col min="9732" max="9732" width="33" style="641" customWidth="1"/>
    <col min="9733" max="9733" width="35.42578125" style="641" customWidth="1"/>
    <col min="9734" max="9734" width="22.85546875" style="641" customWidth="1"/>
    <col min="9735" max="9735" width="23.42578125" style="641" customWidth="1"/>
    <col min="9736" max="9981" width="8.85546875" style="641"/>
    <col min="9982" max="9982" width="0.85546875" style="641" customWidth="1"/>
    <col min="9983" max="9983" width="54.7109375" style="641" customWidth="1"/>
    <col min="9984" max="9984" width="48.7109375" style="641" customWidth="1"/>
    <col min="9985" max="9985" width="35.42578125" style="641" customWidth="1"/>
    <col min="9986" max="9986" width="45.140625" style="641" customWidth="1"/>
    <col min="9987" max="9987" width="34.42578125" style="641" customWidth="1"/>
    <col min="9988" max="9988" width="33" style="641" customWidth="1"/>
    <col min="9989" max="9989" width="35.42578125" style="641" customWidth="1"/>
    <col min="9990" max="9990" width="22.85546875" style="641" customWidth="1"/>
    <col min="9991" max="9991" width="23.42578125" style="641" customWidth="1"/>
    <col min="9992" max="10237" width="8.85546875" style="641"/>
    <col min="10238" max="10238" width="0.85546875" style="641" customWidth="1"/>
    <col min="10239" max="10239" width="54.7109375" style="641" customWidth="1"/>
    <col min="10240" max="10240" width="48.7109375" style="641" customWidth="1"/>
    <col min="10241" max="10241" width="35.42578125" style="641" customWidth="1"/>
    <col min="10242" max="10242" width="45.140625" style="641" customWidth="1"/>
    <col min="10243" max="10243" width="34.42578125" style="641" customWidth="1"/>
    <col min="10244" max="10244" width="33" style="641" customWidth="1"/>
    <col min="10245" max="10245" width="35.42578125" style="641" customWidth="1"/>
    <col min="10246" max="10246" width="22.85546875" style="641" customWidth="1"/>
    <col min="10247" max="10247" width="23.42578125" style="641" customWidth="1"/>
    <col min="10248" max="10493" width="8.85546875" style="641"/>
    <col min="10494" max="10494" width="0.85546875" style="641" customWidth="1"/>
    <col min="10495" max="10495" width="54.7109375" style="641" customWidth="1"/>
    <col min="10496" max="10496" width="48.7109375" style="641" customWidth="1"/>
    <col min="10497" max="10497" width="35.42578125" style="641" customWidth="1"/>
    <col min="10498" max="10498" width="45.140625" style="641" customWidth="1"/>
    <col min="10499" max="10499" width="34.42578125" style="641" customWidth="1"/>
    <col min="10500" max="10500" width="33" style="641" customWidth="1"/>
    <col min="10501" max="10501" width="35.42578125" style="641" customWidth="1"/>
    <col min="10502" max="10502" width="22.85546875" style="641" customWidth="1"/>
    <col min="10503" max="10503" width="23.42578125" style="641" customWidth="1"/>
    <col min="10504" max="10749" width="8.85546875" style="641"/>
    <col min="10750" max="10750" width="0.85546875" style="641" customWidth="1"/>
    <col min="10751" max="10751" width="54.7109375" style="641" customWidth="1"/>
    <col min="10752" max="10752" width="48.7109375" style="641" customWidth="1"/>
    <col min="10753" max="10753" width="35.42578125" style="641" customWidth="1"/>
    <col min="10754" max="10754" width="45.140625" style="641" customWidth="1"/>
    <col min="10755" max="10755" width="34.42578125" style="641" customWidth="1"/>
    <col min="10756" max="10756" width="33" style="641" customWidth="1"/>
    <col min="10757" max="10757" width="35.42578125" style="641" customWidth="1"/>
    <col min="10758" max="10758" width="22.85546875" style="641" customWidth="1"/>
    <col min="10759" max="10759" width="23.42578125" style="641" customWidth="1"/>
    <col min="10760" max="11005" width="8.85546875" style="641"/>
    <col min="11006" max="11006" width="0.85546875" style="641" customWidth="1"/>
    <col min="11007" max="11007" width="54.7109375" style="641" customWidth="1"/>
    <col min="11008" max="11008" width="48.7109375" style="641" customWidth="1"/>
    <col min="11009" max="11009" width="35.42578125" style="641" customWidth="1"/>
    <col min="11010" max="11010" width="45.140625" style="641" customWidth="1"/>
    <col min="11011" max="11011" width="34.42578125" style="641" customWidth="1"/>
    <col min="11012" max="11012" width="33" style="641" customWidth="1"/>
    <col min="11013" max="11013" width="35.42578125" style="641" customWidth="1"/>
    <col min="11014" max="11014" width="22.85546875" style="641" customWidth="1"/>
    <col min="11015" max="11015" width="23.42578125" style="641" customWidth="1"/>
    <col min="11016" max="11261" width="8.85546875" style="641"/>
    <col min="11262" max="11262" width="0.85546875" style="641" customWidth="1"/>
    <col min="11263" max="11263" width="54.7109375" style="641" customWidth="1"/>
    <col min="11264" max="11264" width="48.7109375" style="641" customWidth="1"/>
    <col min="11265" max="11265" width="35.42578125" style="641" customWidth="1"/>
    <col min="11266" max="11266" width="45.140625" style="641" customWidth="1"/>
    <col min="11267" max="11267" width="34.42578125" style="641" customWidth="1"/>
    <col min="11268" max="11268" width="33" style="641" customWidth="1"/>
    <col min="11269" max="11269" width="35.42578125" style="641" customWidth="1"/>
    <col min="11270" max="11270" width="22.85546875" style="641" customWidth="1"/>
    <col min="11271" max="11271" width="23.42578125" style="641" customWidth="1"/>
    <col min="11272" max="11517" width="8.85546875" style="641"/>
    <col min="11518" max="11518" width="0.85546875" style="641" customWidth="1"/>
    <col min="11519" max="11519" width="54.7109375" style="641" customWidth="1"/>
    <col min="11520" max="11520" width="48.7109375" style="641" customWidth="1"/>
    <col min="11521" max="11521" width="35.42578125" style="641" customWidth="1"/>
    <col min="11522" max="11522" width="45.140625" style="641" customWidth="1"/>
    <col min="11523" max="11523" width="34.42578125" style="641" customWidth="1"/>
    <col min="11524" max="11524" width="33" style="641" customWidth="1"/>
    <col min="11525" max="11525" width="35.42578125" style="641" customWidth="1"/>
    <col min="11526" max="11526" width="22.85546875" style="641" customWidth="1"/>
    <col min="11527" max="11527" width="23.42578125" style="641" customWidth="1"/>
    <col min="11528" max="11773" width="8.85546875" style="641"/>
    <col min="11774" max="11774" width="0.85546875" style="641" customWidth="1"/>
    <col min="11775" max="11775" width="54.7109375" style="641" customWidth="1"/>
    <col min="11776" max="11776" width="48.7109375" style="641" customWidth="1"/>
    <col min="11777" max="11777" width="35.42578125" style="641" customWidth="1"/>
    <col min="11778" max="11778" width="45.140625" style="641" customWidth="1"/>
    <col min="11779" max="11779" width="34.42578125" style="641" customWidth="1"/>
    <col min="11780" max="11780" width="33" style="641" customWidth="1"/>
    <col min="11781" max="11781" width="35.42578125" style="641" customWidth="1"/>
    <col min="11782" max="11782" width="22.85546875" style="641" customWidth="1"/>
    <col min="11783" max="11783" width="23.42578125" style="641" customWidth="1"/>
    <col min="11784" max="12029" width="8.85546875" style="641"/>
    <col min="12030" max="12030" width="0.85546875" style="641" customWidth="1"/>
    <col min="12031" max="12031" width="54.7109375" style="641" customWidth="1"/>
    <col min="12032" max="12032" width="48.7109375" style="641" customWidth="1"/>
    <col min="12033" max="12033" width="35.42578125" style="641" customWidth="1"/>
    <col min="12034" max="12034" width="45.140625" style="641" customWidth="1"/>
    <col min="12035" max="12035" width="34.42578125" style="641" customWidth="1"/>
    <col min="12036" max="12036" width="33" style="641" customWidth="1"/>
    <col min="12037" max="12037" width="35.42578125" style="641" customWidth="1"/>
    <col min="12038" max="12038" width="22.85546875" style="641" customWidth="1"/>
    <col min="12039" max="12039" width="23.42578125" style="641" customWidth="1"/>
    <col min="12040" max="12285" width="8.85546875" style="641"/>
    <col min="12286" max="12286" width="0.85546875" style="641" customWidth="1"/>
    <col min="12287" max="12287" width="54.7109375" style="641" customWidth="1"/>
    <col min="12288" max="12288" width="48.7109375" style="641" customWidth="1"/>
    <col min="12289" max="12289" width="35.42578125" style="641" customWidth="1"/>
    <col min="12290" max="12290" width="45.140625" style="641" customWidth="1"/>
    <col min="12291" max="12291" width="34.42578125" style="641" customWidth="1"/>
    <col min="12292" max="12292" width="33" style="641" customWidth="1"/>
    <col min="12293" max="12293" width="35.42578125" style="641" customWidth="1"/>
    <col min="12294" max="12294" width="22.85546875" style="641" customWidth="1"/>
    <col min="12295" max="12295" width="23.42578125" style="641" customWidth="1"/>
    <col min="12296" max="12541" width="8.85546875" style="641"/>
    <col min="12542" max="12542" width="0.85546875" style="641" customWidth="1"/>
    <col min="12543" max="12543" width="54.7109375" style="641" customWidth="1"/>
    <col min="12544" max="12544" width="48.7109375" style="641" customWidth="1"/>
    <col min="12545" max="12545" width="35.42578125" style="641" customWidth="1"/>
    <col min="12546" max="12546" width="45.140625" style="641" customWidth="1"/>
    <col min="12547" max="12547" width="34.42578125" style="641" customWidth="1"/>
    <col min="12548" max="12548" width="33" style="641" customWidth="1"/>
    <col min="12549" max="12549" width="35.42578125" style="641" customWidth="1"/>
    <col min="12550" max="12550" width="22.85546875" style="641" customWidth="1"/>
    <col min="12551" max="12551" width="23.42578125" style="641" customWidth="1"/>
    <col min="12552" max="12797" width="8.85546875" style="641"/>
    <col min="12798" max="12798" width="0.85546875" style="641" customWidth="1"/>
    <col min="12799" max="12799" width="54.7109375" style="641" customWidth="1"/>
    <col min="12800" max="12800" width="48.7109375" style="641" customWidth="1"/>
    <col min="12801" max="12801" width="35.42578125" style="641" customWidth="1"/>
    <col min="12802" max="12802" width="45.140625" style="641" customWidth="1"/>
    <col min="12803" max="12803" width="34.42578125" style="641" customWidth="1"/>
    <col min="12804" max="12804" width="33" style="641" customWidth="1"/>
    <col min="12805" max="12805" width="35.42578125" style="641" customWidth="1"/>
    <col min="12806" max="12806" width="22.85546875" style="641" customWidth="1"/>
    <col min="12807" max="12807" width="23.42578125" style="641" customWidth="1"/>
    <col min="12808" max="13053" width="8.85546875" style="641"/>
    <col min="13054" max="13054" width="0.85546875" style="641" customWidth="1"/>
    <col min="13055" max="13055" width="54.7109375" style="641" customWidth="1"/>
    <col min="13056" max="13056" width="48.7109375" style="641" customWidth="1"/>
    <col min="13057" max="13057" width="35.42578125" style="641" customWidth="1"/>
    <col min="13058" max="13058" width="45.140625" style="641" customWidth="1"/>
    <col min="13059" max="13059" width="34.42578125" style="641" customWidth="1"/>
    <col min="13060" max="13060" width="33" style="641" customWidth="1"/>
    <col min="13061" max="13061" width="35.42578125" style="641" customWidth="1"/>
    <col min="13062" max="13062" width="22.85546875" style="641" customWidth="1"/>
    <col min="13063" max="13063" width="23.42578125" style="641" customWidth="1"/>
    <col min="13064" max="13309" width="8.85546875" style="641"/>
    <col min="13310" max="13310" width="0.85546875" style="641" customWidth="1"/>
    <col min="13311" max="13311" width="54.7109375" style="641" customWidth="1"/>
    <col min="13312" max="13312" width="48.7109375" style="641" customWidth="1"/>
    <col min="13313" max="13313" width="35.42578125" style="641" customWidth="1"/>
    <col min="13314" max="13314" width="45.140625" style="641" customWidth="1"/>
    <col min="13315" max="13315" width="34.42578125" style="641" customWidth="1"/>
    <col min="13316" max="13316" width="33" style="641" customWidth="1"/>
    <col min="13317" max="13317" width="35.42578125" style="641" customWidth="1"/>
    <col min="13318" max="13318" width="22.85546875" style="641" customWidth="1"/>
    <col min="13319" max="13319" width="23.42578125" style="641" customWidth="1"/>
    <col min="13320" max="13565" width="8.85546875" style="641"/>
    <col min="13566" max="13566" width="0.85546875" style="641" customWidth="1"/>
    <col min="13567" max="13567" width="54.7109375" style="641" customWidth="1"/>
    <col min="13568" max="13568" width="48.7109375" style="641" customWidth="1"/>
    <col min="13569" max="13569" width="35.42578125" style="641" customWidth="1"/>
    <col min="13570" max="13570" width="45.140625" style="641" customWidth="1"/>
    <col min="13571" max="13571" width="34.42578125" style="641" customWidth="1"/>
    <col min="13572" max="13572" width="33" style="641" customWidth="1"/>
    <col min="13573" max="13573" width="35.42578125" style="641" customWidth="1"/>
    <col min="13574" max="13574" width="22.85546875" style="641" customWidth="1"/>
    <col min="13575" max="13575" width="23.42578125" style="641" customWidth="1"/>
    <col min="13576" max="13821" width="8.85546875" style="641"/>
    <col min="13822" max="13822" width="0.85546875" style="641" customWidth="1"/>
    <col min="13823" max="13823" width="54.7109375" style="641" customWidth="1"/>
    <col min="13824" max="13824" width="48.7109375" style="641" customWidth="1"/>
    <col min="13825" max="13825" width="35.42578125" style="641" customWidth="1"/>
    <col min="13826" max="13826" width="45.140625" style="641" customWidth="1"/>
    <col min="13827" max="13827" width="34.42578125" style="641" customWidth="1"/>
    <col min="13828" max="13828" width="33" style="641" customWidth="1"/>
    <col min="13829" max="13829" width="35.42578125" style="641" customWidth="1"/>
    <col min="13830" max="13830" width="22.85546875" style="641" customWidth="1"/>
    <col min="13831" max="13831" width="23.42578125" style="641" customWidth="1"/>
    <col min="13832" max="14077" width="8.85546875" style="641"/>
    <col min="14078" max="14078" width="0.85546875" style="641" customWidth="1"/>
    <col min="14079" max="14079" width="54.7109375" style="641" customWidth="1"/>
    <col min="14080" max="14080" width="48.7109375" style="641" customWidth="1"/>
    <col min="14081" max="14081" width="35.42578125" style="641" customWidth="1"/>
    <col min="14082" max="14082" width="45.140625" style="641" customWidth="1"/>
    <col min="14083" max="14083" width="34.42578125" style="641" customWidth="1"/>
    <col min="14084" max="14084" width="33" style="641" customWidth="1"/>
    <col min="14085" max="14085" width="35.42578125" style="641" customWidth="1"/>
    <col min="14086" max="14086" width="22.85546875" style="641" customWidth="1"/>
    <col min="14087" max="14087" width="23.42578125" style="641" customWidth="1"/>
    <col min="14088" max="14333" width="8.85546875" style="641"/>
    <col min="14334" max="14334" width="0.85546875" style="641" customWidth="1"/>
    <col min="14335" max="14335" width="54.7109375" style="641" customWidth="1"/>
    <col min="14336" max="14336" width="48.7109375" style="641" customWidth="1"/>
    <col min="14337" max="14337" width="35.42578125" style="641" customWidth="1"/>
    <col min="14338" max="14338" width="45.140625" style="641" customWidth="1"/>
    <col min="14339" max="14339" width="34.42578125" style="641" customWidth="1"/>
    <col min="14340" max="14340" width="33" style="641" customWidth="1"/>
    <col min="14341" max="14341" width="35.42578125" style="641" customWidth="1"/>
    <col min="14342" max="14342" width="22.85546875" style="641" customWidth="1"/>
    <col min="14343" max="14343" width="23.42578125" style="641" customWidth="1"/>
    <col min="14344" max="14589" width="8.85546875" style="641"/>
    <col min="14590" max="14590" width="0.85546875" style="641" customWidth="1"/>
    <col min="14591" max="14591" width="54.7109375" style="641" customWidth="1"/>
    <col min="14592" max="14592" width="48.7109375" style="641" customWidth="1"/>
    <col min="14593" max="14593" width="35.42578125" style="641" customWidth="1"/>
    <col min="14594" max="14594" width="45.140625" style="641" customWidth="1"/>
    <col min="14595" max="14595" width="34.42578125" style="641" customWidth="1"/>
    <col min="14596" max="14596" width="33" style="641" customWidth="1"/>
    <col min="14597" max="14597" width="35.42578125" style="641" customWidth="1"/>
    <col min="14598" max="14598" width="22.85546875" style="641" customWidth="1"/>
    <col min="14599" max="14599" width="23.42578125" style="641" customWidth="1"/>
    <col min="14600" max="14845" width="8.85546875" style="641"/>
    <col min="14846" max="14846" width="0.85546875" style="641" customWidth="1"/>
    <col min="14847" max="14847" width="54.7109375" style="641" customWidth="1"/>
    <col min="14848" max="14848" width="48.7109375" style="641" customWidth="1"/>
    <col min="14849" max="14849" width="35.42578125" style="641" customWidth="1"/>
    <col min="14850" max="14850" width="45.140625" style="641" customWidth="1"/>
    <col min="14851" max="14851" width="34.42578125" style="641" customWidth="1"/>
    <col min="14852" max="14852" width="33" style="641" customWidth="1"/>
    <col min="14853" max="14853" width="35.42578125" style="641" customWidth="1"/>
    <col min="14854" max="14854" width="22.85546875" style="641" customWidth="1"/>
    <col min="14855" max="14855" width="23.42578125" style="641" customWidth="1"/>
    <col min="14856" max="15101" width="8.85546875" style="641"/>
    <col min="15102" max="15102" width="0.85546875" style="641" customWidth="1"/>
    <col min="15103" max="15103" width="54.7109375" style="641" customWidth="1"/>
    <col min="15104" max="15104" width="48.7109375" style="641" customWidth="1"/>
    <col min="15105" max="15105" width="35.42578125" style="641" customWidth="1"/>
    <col min="15106" max="15106" width="45.140625" style="641" customWidth="1"/>
    <col min="15107" max="15107" width="34.42578125" style="641" customWidth="1"/>
    <col min="15108" max="15108" width="33" style="641" customWidth="1"/>
    <col min="15109" max="15109" width="35.42578125" style="641" customWidth="1"/>
    <col min="15110" max="15110" width="22.85546875" style="641" customWidth="1"/>
    <col min="15111" max="15111" width="23.42578125" style="641" customWidth="1"/>
    <col min="15112" max="15357" width="8.85546875" style="641"/>
    <col min="15358" max="15358" width="0.85546875" style="641" customWidth="1"/>
    <col min="15359" max="15359" width="54.7109375" style="641" customWidth="1"/>
    <col min="15360" max="15360" width="48.7109375" style="641" customWidth="1"/>
    <col min="15361" max="15361" width="35.42578125" style="641" customWidth="1"/>
    <col min="15362" max="15362" width="45.140625" style="641" customWidth="1"/>
    <col min="15363" max="15363" width="34.42578125" style="641" customWidth="1"/>
    <col min="15364" max="15364" width="33" style="641" customWidth="1"/>
    <col min="15365" max="15365" width="35.42578125" style="641" customWidth="1"/>
    <col min="15366" max="15366" width="22.85546875" style="641" customWidth="1"/>
    <col min="15367" max="15367" width="23.42578125" style="641" customWidth="1"/>
    <col min="15368" max="15613" width="8.85546875" style="641"/>
    <col min="15614" max="15614" width="0.85546875" style="641" customWidth="1"/>
    <col min="15615" max="15615" width="54.7109375" style="641" customWidth="1"/>
    <col min="15616" max="15616" width="48.7109375" style="641" customWidth="1"/>
    <col min="15617" max="15617" width="35.42578125" style="641" customWidth="1"/>
    <col min="15618" max="15618" width="45.140625" style="641" customWidth="1"/>
    <col min="15619" max="15619" width="34.42578125" style="641" customWidth="1"/>
    <col min="15620" max="15620" width="33" style="641" customWidth="1"/>
    <col min="15621" max="15621" width="35.42578125" style="641" customWidth="1"/>
    <col min="15622" max="15622" width="22.85546875" style="641" customWidth="1"/>
    <col min="15623" max="15623" width="23.42578125" style="641" customWidth="1"/>
    <col min="15624" max="15869" width="8.85546875" style="641"/>
    <col min="15870" max="15870" width="0.85546875" style="641" customWidth="1"/>
    <col min="15871" max="15871" width="54.7109375" style="641" customWidth="1"/>
    <col min="15872" max="15872" width="48.7109375" style="641" customWidth="1"/>
    <col min="15873" max="15873" width="35.42578125" style="641" customWidth="1"/>
    <col min="15874" max="15874" width="45.140625" style="641" customWidth="1"/>
    <col min="15875" max="15875" width="34.42578125" style="641" customWidth="1"/>
    <col min="15876" max="15876" width="33" style="641" customWidth="1"/>
    <col min="15877" max="15877" width="35.42578125" style="641" customWidth="1"/>
    <col min="15878" max="15878" width="22.85546875" style="641" customWidth="1"/>
    <col min="15879" max="15879" width="23.42578125" style="641" customWidth="1"/>
    <col min="15880" max="16125" width="8.85546875" style="641"/>
    <col min="16126" max="16126" width="0.85546875" style="641" customWidth="1"/>
    <col min="16127" max="16127" width="54.7109375" style="641" customWidth="1"/>
    <col min="16128" max="16128" width="48.7109375" style="641" customWidth="1"/>
    <col min="16129" max="16129" width="35.42578125" style="641" customWidth="1"/>
    <col min="16130" max="16130" width="45.140625" style="641" customWidth="1"/>
    <col min="16131" max="16131" width="34.42578125" style="641" customWidth="1"/>
    <col min="16132" max="16132" width="33" style="641" customWidth="1"/>
    <col min="16133" max="16133" width="35.42578125" style="641" customWidth="1"/>
    <col min="16134" max="16134" width="22.85546875" style="641" customWidth="1"/>
    <col min="16135" max="16135" width="23.42578125" style="641" customWidth="1"/>
    <col min="16136" max="16384" width="8.85546875" style="641"/>
  </cols>
  <sheetData>
    <row r="1" spans="2:21" ht="6.75" customHeight="1" thickBot="1"/>
    <row r="2" spans="2:21" ht="18.75" customHeight="1">
      <c r="B2" s="953" t="s">
        <v>585</v>
      </c>
      <c r="C2" s="954"/>
      <c r="D2" s="954"/>
      <c r="E2" s="954"/>
      <c r="F2" s="954"/>
      <c r="G2" s="954"/>
      <c r="H2" s="954"/>
      <c r="I2" s="954"/>
      <c r="J2" s="954"/>
      <c r="K2" s="954"/>
      <c r="L2" s="954"/>
      <c r="M2" s="954"/>
      <c r="N2" s="954"/>
      <c r="O2" s="954"/>
      <c r="P2" s="954"/>
      <c r="Q2" s="954"/>
      <c r="R2" s="954"/>
      <c r="S2" s="954"/>
      <c r="T2" s="954"/>
      <c r="U2" s="955"/>
    </row>
    <row r="3" spans="2:21" ht="18.75" customHeight="1">
      <c r="B3" s="956"/>
      <c r="C3" s="957"/>
      <c r="D3" s="957"/>
      <c r="E3" s="957"/>
      <c r="F3" s="957"/>
      <c r="G3" s="957"/>
      <c r="H3" s="957"/>
      <c r="I3" s="957"/>
      <c r="J3" s="957"/>
      <c r="K3" s="957"/>
      <c r="L3" s="957"/>
      <c r="M3" s="957"/>
      <c r="N3" s="957"/>
      <c r="O3" s="957"/>
      <c r="P3" s="957"/>
      <c r="Q3" s="957"/>
      <c r="R3" s="957"/>
      <c r="S3" s="957"/>
      <c r="T3" s="957"/>
      <c r="U3" s="958"/>
    </row>
    <row r="4" spans="2:21" ht="18.75" customHeight="1">
      <c r="B4" s="956"/>
      <c r="C4" s="957"/>
      <c r="D4" s="957"/>
      <c r="E4" s="957"/>
      <c r="F4" s="957"/>
      <c r="G4" s="957"/>
      <c r="H4" s="957"/>
      <c r="I4" s="957"/>
      <c r="J4" s="957"/>
      <c r="K4" s="957"/>
      <c r="L4" s="957"/>
      <c r="M4" s="957"/>
      <c r="N4" s="957"/>
      <c r="O4" s="957"/>
      <c r="P4" s="957"/>
      <c r="Q4" s="957"/>
      <c r="R4" s="957"/>
      <c r="S4" s="957"/>
      <c r="T4" s="957"/>
      <c r="U4" s="958"/>
    </row>
    <row r="5" spans="2:21" ht="18.75" customHeight="1" thickBot="1">
      <c r="B5" s="959"/>
      <c r="C5" s="960"/>
      <c r="D5" s="960"/>
      <c r="E5" s="960"/>
      <c r="F5" s="960"/>
      <c r="G5" s="960"/>
      <c r="H5" s="960"/>
      <c r="I5" s="960"/>
      <c r="J5" s="960"/>
      <c r="K5" s="960"/>
      <c r="L5" s="960"/>
      <c r="M5" s="960"/>
      <c r="N5" s="960"/>
      <c r="O5" s="960"/>
      <c r="P5" s="960"/>
      <c r="Q5" s="960"/>
      <c r="R5" s="960"/>
      <c r="S5" s="960"/>
      <c r="T5" s="960"/>
      <c r="U5" s="961"/>
    </row>
    <row r="7" spans="2:21" s="642" customFormat="1"/>
    <row r="8" spans="2:21" ht="13.5" thickBot="1"/>
    <row r="9" spans="2:21" ht="24" thickBot="1">
      <c r="B9" s="700" t="s">
        <v>550</v>
      </c>
      <c r="C9" s="701" t="s">
        <v>575</v>
      </c>
      <c r="D9" s="951" t="s">
        <v>575</v>
      </c>
      <c r="E9" s="645" t="s">
        <v>575</v>
      </c>
      <c r="F9" s="683"/>
    </row>
    <row r="10" spans="2:21" ht="39" thickBot="1">
      <c r="B10" s="699"/>
      <c r="C10" s="702" t="s">
        <v>576</v>
      </c>
      <c r="D10" s="952"/>
      <c r="E10" s="649" t="s">
        <v>577</v>
      </c>
      <c r="F10" s="683"/>
    </row>
    <row r="11" spans="2:21" s="683" customFormat="1" ht="39" customHeight="1">
      <c r="B11" s="703" t="s">
        <v>578</v>
      </c>
      <c r="C11" s="690">
        <v>112125900.54758139</v>
      </c>
      <c r="D11" s="704">
        <f>'09 Ekonomická analýza - nákup'!$C$12</f>
        <v>115052278.73656352</v>
      </c>
      <c r="E11" s="657">
        <v>117978656.92554559</v>
      </c>
      <c r="F11" s="705"/>
      <c r="G11" s="706"/>
    </row>
    <row r="12" spans="2:21" s="683" customFormat="1" ht="39" customHeight="1">
      <c r="B12" s="703" t="s">
        <v>579</v>
      </c>
      <c r="C12" s="707">
        <v>118497454.49873357</v>
      </c>
      <c r="D12" s="708">
        <f>'09 Ekonomická analýza - nákup'!$C$12</f>
        <v>115052278.73656352</v>
      </c>
      <c r="E12" s="709">
        <v>111607102.9743934</v>
      </c>
      <c r="F12" s="705"/>
      <c r="G12" s="706"/>
    </row>
    <row r="13" spans="2:21" s="683" customFormat="1" ht="39" customHeight="1">
      <c r="B13" s="703" t="s">
        <v>598</v>
      </c>
      <c r="C13" s="748">
        <v>115331472.43888916</v>
      </c>
      <c r="D13" s="708">
        <f>'09 Ekonomická analýza - nákup'!$C$12</f>
        <v>115052278.73656352</v>
      </c>
      <c r="E13" s="749">
        <v>114773085.03423785</v>
      </c>
      <c r="F13" s="705"/>
      <c r="G13" s="706"/>
    </row>
    <row r="14" spans="2:21" s="683" customFormat="1" ht="39" customHeight="1">
      <c r="B14" s="703" t="s">
        <v>599</v>
      </c>
      <c r="C14" s="748">
        <v>115331472.43888913</v>
      </c>
      <c r="D14" s="708">
        <f>'09 Ekonomická analýza - nákup'!$C$12</f>
        <v>115052278.73656352</v>
      </c>
      <c r="E14" s="749">
        <v>114773085.03423785</v>
      </c>
      <c r="F14" s="705"/>
      <c r="G14" s="706"/>
    </row>
    <row r="15" spans="2:21" s="683" customFormat="1" ht="39" customHeight="1">
      <c r="B15" s="703" t="s">
        <v>600</v>
      </c>
      <c r="C15" s="748">
        <v>115071605.41831081</v>
      </c>
      <c r="D15" s="708">
        <f>'09 Ekonomická analýza - nákup'!$C$12</f>
        <v>115052278.73656352</v>
      </c>
      <c r="E15" s="749">
        <v>115032952.05481617</v>
      </c>
      <c r="F15" s="705"/>
      <c r="G15" s="706"/>
    </row>
    <row r="16" spans="2:21" s="683" customFormat="1" ht="39" customHeight="1" thickBot="1">
      <c r="B16" s="710" t="s">
        <v>557</v>
      </c>
      <c r="C16" s="711">
        <v>115385444.87461266</v>
      </c>
      <c r="D16" s="712">
        <f>'09 Ekonomická analýza - nákup'!$C$12</f>
        <v>115052278.73656352</v>
      </c>
      <c r="E16" s="713">
        <v>114719112.59851432</v>
      </c>
      <c r="F16" s="714"/>
      <c r="G16" s="715"/>
    </row>
    <row r="20" spans="2:7" ht="13.5" thickBot="1"/>
    <row r="21" spans="2:7" ht="24" thickBot="1">
      <c r="B21" s="700" t="s">
        <v>558</v>
      </c>
      <c r="C21" s="644" t="s">
        <v>575</v>
      </c>
      <c r="D21" s="951" t="s">
        <v>575</v>
      </c>
      <c r="E21" s="663" t="s">
        <v>575</v>
      </c>
      <c r="F21" s="984" t="s">
        <v>559</v>
      </c>
      <c r="G21" s="986" t="s">
        <v>560</v>
      </c>
    </row>
    <row r="22" spans="2:7" ht="39" thickBot="1">
      <c r="B22" s="699"/>
      <c r="C22" s="664" t="str">
        <f>C10</f>
        <v xml:space="preserve">zmena ENPV
pri 1% zmene vstupnej premennej
</v>
      </c>
      <c r="D22" s="952"/>
      <c r="E22" s="665" t="str">
        <f>E10</f>
        <v xml:space="preserve">zmena ENPV
pri -1% zmene vstupnej premennej
</v>
      </c>
      <c r="F22" s="985"/>
      <c r="G22" s="987"/>
    </row>
    <row r="23" spans="2:7" s="683" customFormat="1" ht="42.75" customHeight="1">
      <c r="B23" s="716" t="str">
        <f>B11</f>
        <v>Vstupná premenná:
Investičné náklady</v>
      </c>
      <c r="C23" s="672">
        <f>C11/D11-1</f>
        <v>-2.5435204075207274E-2</v>
      </c>
      <c r="D23" s="717">
        <f>D11/D11-1</f>
        <v>0</v>
      </c>
      <c r="E23" s="717">
        <f>E11/D11-1</f>
        <v>2.543520407520683E-2</v>
      </c>
      <c r="F23" s="675" t="str">
        <f>IF(ABS(C23)&gt;1%,"Áno","Nie")</f>
        <v>Áno</v>
      </c>
      <c r="G23" s="676" t="str">
        <f>IF(ABS(E23)&gt;1%,"Áno","Nie")</f>
        <v>Áno</v>
      </c>
    </row>
    <row r="24" spans="2:7" s="683" customFormat="1" ht="42.75" customHeight="1">
      <c r="B24" s="703" t="str">
        <f>B12</f>
        <v>Vstupná premenná:
Prevádzkové náklady</v>
      </c>
      <c r="C24" s="672">
        <f t="shared" ref="C24:C27" si="0">C12/D12-1</f>
        <v>2.994443743316455E-2</v>
      </c>
      <c r="D24" s="673">
        <f>D12/D12-1</f>
        <v>0</v>
      </c>
      <c r="E24" s="673">
        <f>E12/D12-1</f>
        <v>-2.9944437433165327E-2</v>
      </c>
      <c r="F24" s="675" t="str">
        <f t="shared" ref="F24" si="1">IF(ABS(C24)&gt;1%,"Áno","Nie")</f>
        <v>Áno</v>
      </c>
      <c r="G24" s="676" t="str">
        <f t="shared" ref="G24" si="2">IF(ABS(E24)&gt;1%,"Áno","Nie")</f>
        <v>Áno</v>
      </c>
    </row>
    <row r="25" spans="2:7" s="683" customFormat="1" ht="42.75" customHeight="1">
      <c r="B25" s="703" t="str">
        <f t="shared" ref="B25:B27" si="3">B13</f>
        <v>Vstupná premenná:
Počet cestujúcich</v>
      </c>
      <c r="C25" s="672">
        <f t="shared" si="0"/>
        <v>2.4266681667810541E-3</v>
      </c>
      <c r="D25" s="673">
        <f t="shared" ref="D25:D27" si="4">D13/D13-1</f>
        <v>0</v>
      </c>
      <c r="E25" s="673">
        <f t="shared" ref="E25:E27" si="5">E13/D13-1</f>
        <v>-2.4266681667813872E-3</v>
      </c>
      <c r="F25" s="675" t="str">
        <f t="shared" ref="F25:F27" si="6">IF(ABS(C25)&gt;1%,"Áno","Nie")</f>
        <v>Nie</v>
      </c>
      <c r="G25" s="676" t="str">
        <f t="shared" ref="G25:G27" si="7">IF(ABS(E25)&gt;1%,"Áno","Nie")</f>
        <v>Nie</v>
      </c>
    </row>
    <row r="26" spans="2:7" s="683" customFormat="1" ht="42.75" customHeight="1">
      <c r="B26" s="703" t="str">
        <f t="shared" si="3"/>
        <v>Vstupná premenná:
Úspora času cestujúci</v>
      </c>
      <c r="C26" s="672">
        <f t="shared" si="0"/>
        <v>2.4266681667808321E-3</v>
      </c>
      <c r="D26" s="673">
        <f t="shared" si="4"/>
        <v>0</v>
      </c>
      <c r="E26" s="673">
        <f t="shared" si="5"/>
        <v>-2.4266681667813872E-3</v>
      </c>
      <c r="F26" s="675" t="str">
        <f t="shared" si="6"/>
        <v>Nie</v>
      </c>
      <c r="G26" s="676" t="str">
        <f t="shared" si="7"/>
        <v>Nie</v>
      </c>
    </row>
    <row r="27" spans="2:7" s="683" customFormat="1" ht="42.75" customHeight="1">
      <c r="B27" s="703" t="str">
        <f t="shared" si="3"/>
        <v>Vstupná premenná:
Úspora času prípr. vlaku</v>
      </c>
      <c r="C27" s="672">
        <f t="shared" si="0"/>
        <v>1.6798173803711514E-4</v>
      </c>
      <c r="D27" s="673">
        <f t="shared" si="4"/>
        <v>0</v>
      </c>
      <c r="E27" s="673">
        <f t="shared" si="5"/>
        <v>-1.6798173803755923E-4</v>
      </c>
      <c r="F27" s="675" t="str">
        <f t="shared" si="6"/>
        <v>Nie</v>
      </c>
      <c r="G27" s="676" t="str">
        <f t="shared" si="7"/>
        <v>Nie</v>
      </c>
    </row>
    <row r="28" spans="2:7" s="683" customFormat="1" ht="42.75" customHeight="1" thickBot="1">
      <c r="B28" s="710" t="str">
        <f>B16</f>
        <v>Vstupná premenná:
Zostatková hodnota</v>
      </c>
      <c r="C28" s="718">
        <f>C16/D16-1</f>
        <v>2.8957804374478702E-3</v>
      </c>
      <c r="D28" s="679">
        <f>D16/D16-1</f>
        <v>0</v>
      </c>
      <c r="E28" s="679">
        <f>E16/D16-1</f>
        <v>-2.8957804374484253E-3</v>
      </c>
      <c r="F28" s="718" t="str">
        <f>IF(ABS(C28)&gt;1%,"Áno","Nie")</f>
        <v>Nie</v>
      </c>
      <c r="G28" s="719" t="str">
        <f>IF(ABS(E28)&gt;1%,"Áno","Nie")</f>
        <v>Nie</v>
      </c>
    </row>
    <row r="70" spans="2:7" s="642" customFormat="1"/>
    <row r="71" spans="2:7" ht="13.5" thickBot="1"/>
    <row r="72" spans="2:7" ht="24" thickBot="1">
      <c r="B72" s="700" t="s">
        <v>550</v>
      </c>
      <c r="C72" s="701" t="s">
        <v>575</v>
      </c>
      <c r="D72" s="951" t="s">
        <v>575</v>
      </c>
      <c r="E72" s="645" t="s">
        <v>575</v>
      </c>
      <c r="F72" s="683"/>
    </row>
    <row r="73" spans="2:7" ht="39" thickBot="1">
      <c r="B73" s="699"/>
      <c r="C73" s="702" t="s">
        <v>580</v>
      </c>
      <c r="D73" s="952"/>
      <c r="E73" s="649" t="s">
        <v>581</v>
      </c>
      <c r="F73" s="683"/>
    </row>
    <row r="74" spans="2:7" s="683" customFormat="1" ht="39.75" customHeight="1">
      <c r="B74" s="703" t="str">
        <f>B11</f>
        <v>Vstupná premenná:
Investičné náklady</v>
      </c>
      <c r="C74" s="690">
        <v>100420387.79165296</v>
      </c>
      <c r="D74" s="704">
        <f>D11</f>
        <v>115052278.73656352</v>
      </c>
      <c r="E74" s="657">
        <v>129684169.68147402</v>
      </c>
      <c r="F74" s="705"/>
      <c r="G74" s="706"/>
    </row>
    <row r="75" spans="2:7" s="683" customFormat="1" ht="39.75" customHeight="1">
      <c r="B75" s="703" t="str">
        <f>B12</f>
        <v>Vstupná premenná:
Prevádzkové náklady</v>
      </c>
      <c r="C75" s="690">
        <v>132278157.54741378</v>
      </c>
      <c r="D75" s="704">
        <f>D12</f>
        <v>115052278.73656352</v>
      </c>
      <c r="E75" s="657">
        <v>97826399.925713137</v>
      </c>
      <c r="F75" s="705"/>
      <c r="G75" s="706"/>
    </row>
    <row r="76" spans="2:7" s="683" customFormat="1" ht="39.75" customHeight="1">
      <c r="B76" s="703" t="str">
        <f t="shared" ref="B76:B78" si="8">B13</f>
        <v>Vstupná premenná:
Počet cestujúcich</v>
      </c>
      <c r="C76" s="750">
        <v>116448247.24819174</v>
      </c>
      <c r="D76" s="704">
        <f t="shared" ref="D76:D78" si="9">D13</f>
        <v>115052278.73656352</v>
      </c>
      <c r="E76" s="751">
        <v>113656310.22493522</v>
      </c>
      <c r="F76" s="705"/>
      <c r="G76" s="706"/>
    </row>
    <row r="77" spans="2:7" s="683" customFormat="1" ht="39.75" customHeight="1">
      <c r="B77" s="703" t="str">
        <f t="shared" si="8"/>
        <v>Vstupná premenná:
Úspora času cestujúci</v>
      </c>
      <c r="C77" s="750">
        <v>116448247.24819174</v>
      </c>
      <c r="D77" s="704">
        <f t="shared" si="9"/>
        <v>115052278.73656352</v>
      </c>
      <c r="E77" s="751">
        <v>113656310.22493522</v>
      </c>
      <c r="F77" s="705"/>
      <c r="G77" s="706"/>
    </row>
    <row r="78" spans="2:7" s="683" customFormat="1" ht="39.75" customHeight="1">
      <c r="B78" s="703" t="str">
        <f t="shared" si="8"/>
        <v>Vstupná premenná:
Úspora času prípr. vlaku</v>
      </c>
      <c r="C78" s="750">
        <v>115148912.14529999</v>
      </c>
      <c r="D78" s="704">
        <f t="shared" si="9"/>
        <v>115052278.73656352</v>
      </c>
      <c r="E78" s="751">
        <v>114955645.32782696</v>
      </c>
      <c r="F78" s="705"/>
      <c r="G78" s="706"/>
    </row>
    <row r="79" spans="2:7" s="683" customFormat="1" ht="39.75" customHeight="1" thickBot="1">
      <c r="B79" s="710" t="str">
        <f>B16</f>
        <v>Vstupná premenná:
Zostatková hodnota</v>
      </c>
      <c r="C79" s="711">
        <v>116718109.42680933</v>
      </c>
      <c r="D79" s="712">
        <f>D16</f>
        <v>115052278.73656352</v>
      </c>
      <c r="E79" s="713">
        <v>113386448.04631764</v>
      </c>
      <c r="F79" s="714"/>
      <c r="G79" s="715"/>
    </row>
    <row r="83" spans="2:7" ht="13.5" thickBot="1"/>
    <row r="84" spans="2:7" ht="24" thickBot="1">
      <c r="B84" s="700" t="s">
        <v>558</v>
      </c>
      <c r="C84" s="644" t="s">
        <v>575</v>
      </c>
      <c r="D84" s="951" t="s">
        <v>575</v>
      </c>
      <c r="E84" s="663" t="s">
        <v>575</v>
      </c>
      <c r="F84" s="988" t="s">
        <v>563</v>
      </c>
      <c r="G84" s="986" t="s">
        <v>564</v>
      </c>
    </row>
    <row r="85" spans="2:7" ht="39" thickBot="1">
      <c r="B85" s="699"/>
      <c r="C85" s="664" t="str">
        <f>C73</f>
        <v xml:space="preserve">zmena ENPV
pri 5% zmene vstupnej premennej
</v>
      </c>
      <c r="D85" s="952"/>
      <c r="E85" s="665" t="str">
        <f>E73</f>
        <v xml:space="preserve">zmena ENPV
pri -5% zmene vstupnej premennej
</v>
      </c>
      <c r="F85" s="989"/>
      <c r="G85" s="987"/>
    </row>
    <row r="86" spans="2:7" s="683" customFormat="1" ht="40.5" customHeight="1">
      <c r="B86" s="703" t="str">
        <f>B11</f>
        <v>Vstupná premenná:
Investičné náklady</v>
      </c>
      <c r="C86" s="667">
        <f t="shared" ref="C86:C91" si="10">C74/D74-1</f>
        <v>-0.12717602037603581</v>
      </c>
      <c r="D86" s="717">
        <f>D74/D74-1</f>
        <v>0</v>
      </c>
      <c r="E86" s="673">
        <f>E74/D74-1</f>
        <v>0.12717602037603526</v>
      </c>
      <c r="F86" s="675" t="str">
        <f t="shared" ref="F86:F91" si="11">IF(ABS(C86)&gt;5%,"Áno","Nie")</f>
        <v>Áno</v>
      </c>
      <c r="G86" s="676" t="str">
        <f t="shared" ref="G86:G91" si="12">IF(ABS(E86)&gt;5%,"Áno","Nie")</f>
        <v>Áno</v>
      </c>
    </row>
    <row r="87" spans="2:7" s="683" customFormat="1" ht="40.5" customHeight="1">
      <c r="B87" s="703" t="str">
        <f>B12</f>
        <v>Vstupná premenná:
Prevádzkové náklady</v>
      </c>
      <c r="C87" s="667">
        <f t="shared" si="10"/>
        <v>0.14972218716582364</v>
      </c>
      <c r="D87" s="673">
        <f>D75/D75-1</f>
        <v>0</v>
      </c>
      <c r="E87" s="673">
        <f>E75/D75-1</f>
        <v>-0.14972218716582453</v>
      </c>
      <c r="F87" s="675" t="str">
        <f t="shared" si="11"/>
        <v>Áno</v>
      </c>
      <c r="G87" s="676" t="str">
        <f t="shared" si="12"/>
        <v>Áno</v>
      </c>
    </row>
    <row r="88" spans="2:7" s="683" customFormat="1" ht="40.5" customHeight="1">
      <c r="B88" s="703" t="str">
        <f t="shared" ref="B88:B90" si="13">B13</f>
        <v>Vstupná premenná:
Počet cestujúcich</v>
      </c>
      <c r="C88" s="667">
        <f t="shared" si="10"/>
        <v>1.2133340833905493E-2</v>
      </c>
      <c r="D88" s="673">
        <f t="shared" ref="D88:D90" si="14">D76/D76-1</f>
        <v>0</v>
      </c>
      <c r="E88" s="673">
        <f t="shared" ref="E88:E90" si="15">E76/D76-1</f>
        <v>-1.2133340833906159E-2</v>
      </c>
      <c r="F88" s="675" t="str">
        <f t="shared" ref="F88:F90" si="16">IF(ABS(C88)&gt;5%,"Áno","Nie")</f>
        <v>Nie</v>
      </c>
      <c r="G88" s="676" t="str">
        <f t="shared" ref="G88:G90" si="17">IF(ABS(E88)&gt;5%,"Áno","Nie")</f>
        <v>Nie</v>
      </c>
    </row>
    <row r="89" spans="2:7" s="683" customFormat="1" ht="40.5" customHeight="1">
      <c r="B89" s="703" t="str">
        <f t="shared" si="13"/>
        <v>Vstupná premenná:
Úspora času cestujúci</v>
      </c>
      <c r="C89" s="667">
        <f t="shared" si="10"/>
        <v>1.2133340833905493E-2</v>
      </c>
      <c r="D89" s="673">
        <f t="shared" si="14"/>
        <v>0</v>
      </c>
      <c r="E89" s="673">
        <f t="shared" si="15"/>
        <v>-1.2133340833906159E-2</v>
      </c>
      <c r="F89" s="675" t="str">
        <f t="shared" si="16"/>
        <v>Nie</v>
      </c>
      <c r="G89" s="676" t="str">
        <f t="shared" si="17"/>
        <v>Nie</v>
      </c>
    </row>
    <row r="90" spans="2:7" s="683" customFormat="1" ht="40.5" customHeight="1">
      <c r="B90" s="703" t="str">
        <f t="shared" si="13"/>
        <v>Vstupná premenná:
Úspora času prípr. vlaku</v>
      </c>
      <c r="C90" s="667">
        <f t="shared" si="10"/>
        <v>8.3990869018535363E-4</v>
      </c>
      <c r="D90" s="673">
        <f t="shared" si="14"/>
        <v>0</v>
      </c>
      <c r="E90" s="673">
        <f t="shared" si="15"/>
        <v>-8.3990869018613079E-4</v>
      </c>
      <c r="F90" s="675" t="str">
        <f t="shared" si="16"/>
        <v>Nie</v>
      </c>
      <c r="G90" s="676" t="str">
        <f t="shared" si="17"/>
        <v>Nie</v>
      </c>
    </row>
    <row r="91" spans="2:7" s="683" customFormat="1" ht="40.5" customHeight="1" thickBot="1">
      <c r="B91" s="710" t="str">
        <f>B16</f>
        <v>Vstupná premenná:
Zostatková hodnota</v>
      </c>
      <c r="C91" s="718">
        <f t="shared" si="10"/>
        <v>1.4478902187240239E-2</v>
      </c>
      <c r="D91" s="679">
        <f>D79/D79-1</f>
        <v>0</v>
      </c>
      <c r="E91" s="679">
        <f>E79/D79-1</f>
        <v>-1.4478902187240905E-2</v>
      </c>
      <c r="F91" s="718" t="str">
        <f t="shared" si="11"/>
        <v>Nie</v>
      </c>
      <c r="G91" s="719" t="str">
        <f t="shared" si="12"/>
        <v>Nie</v>
      </c>
    </row>
    <row r="128" s="642" customFormat="1"/>
    <row r="129" spans="2:7" ht="13.5" thickBot="1"/>
    <row r="130" spans="2:7" ht="24" thickBot="1">
      <c r="B130" s="700" t="s">
        <v>550</v>
      </c>
      <c r="C130" s="701" t="s">
        <v>575</v>
      </c>
      <c r="D130" s="951" t="s">
        <v>575</v>
      </c>
      <c r="E130" s="645" t="s">
        <v>575</v>
      </c>
      <c r="F130" s="683"/>
    </row>
    <row r="131" spans="2:7" ht="39" thickBot="1">
      <c r="B131" s="699"/>
      <c r="C131" s="702" t="s">
        <v>582</v>
      </c>
      <c r="D131" s="952"/>
      <c r="E131" s="649" t="s">
        <v>583</v>
      </c>
      <c r="F131" s="683"/>
    </row>
    <row r="132" spans="2:7" s="683" customFormat="1" ht="40.5" customHeight="1">
      <c r="B132" s="703" t="str">
        <f>B11</f>
        <v>Vstupná premenná:
Investičné náklady</v>
      </c>
      <c r="C132" s="690">
        <v>85788496.846742421</v>
      </c>
      <c r="D132" s="704">
        <f>D11</f>
        <v>115052278.73656352</v>
      </c>
      <c r="E132" s="657">
        <v>144316060.62638456</v>
      </c>
      <c r="F132" s="705"/>
      <c r="G132" s="706"/>
    </row>
    <row r="133" spans="2:7" s="683" customFormat="1" ht="40.5" customHeight="1">
      <c r="B133" s="703" t="str">
        <f>B12</f>
        <v>Vstupná premenná:
Prevádzkové náklady</v>
      </c>
      <c r="C133" s="707">
        <v>149504036.35826415</v>
      </c>
      <c r="D133" s="704">
        <f>D12</f>
        <v>115052278.73656352</v>
      </c>
      <c r="E133" s="709">
        <v>80600521.114862844</v>
      </c>
      <c r="F133" s="705"/>
      <c r="G133" s="706"/>
    </row>
    <row r="134" spans="2:7" s="683" customFormat="1" ht="40.5" customHeight="1">
      <c r="B134" s="703" t="str">
        <f t="shared" ref="B134:B136" si="18">B13</f>
        <v>Vstupná premenná:
Počet cestujúcich</v>
      </c>
      <c r="C134" s="748">
        <v>117844215.75982003</v>
      </c>
      <c r="D134" s="704">
        <f t="shared" ref="D134:D136" si="19">D13</f>
        <v>115052278.73656352</v>
      </c>
      <c r="E134" s="749">
        <v>112260341.71330693</v>
      </c>
      <c r="F134" s="705"/>
      <c r="G134" s="706"/>
    </row>
    <row r="135" spans="2:7" s="683" customFormat="1" ht="40.5" customHeight="1">
      <c r="B135" s="703" t="str">
        <f t="shared" si="18"/>
        <v>Vstupná premenná:
Úspora času cestujúci</v>
      </c>
      <c r="C135" s="748">
        <v>117844215.75982001</v>
      </c>
      <c r="D135" s="704">
        <f t="shared" si="19"/>
        <v>115052278.73656352</v>
      </c>
      <c r="E135" s="749">
        <v>112260341.71330693</v>
      </c>
      <c r="F135" s="705"/>
      <c r="G135" s="706"/>
    </row>
    <row r="136" spans="2:7" s="683" customFormat="1" ht="40.5" customHeight="1">
      <c r="B136" s="703" t="str">
        <f t="shared" si="18"/>
        <v>Vstupná premenná:
Úspora času prípr. vlaku</v>
      </c>
      <c r="C136" s="748">
        <v>115245545.55403653</v>
      </c>
      <c r="D136" s="704">
        <f t="shared" si="19"/>
        <v>115052278.73656352</v>
      </c>
      <c r="E136" s="749">
        <v>114859011.91909043</v>
      </c>
      <c r="F136" s="705"/>
      <c r="G136" s="706"/>
    </row>
    <row r="137" spans="2:7" s="683" customFormat="1" ht="40.5" customHeight="1" thickBot="1">
      <c r="B137" s="710" t="str">
        <f>B16</f>
        <v>Vstupná premenná:
Zostatková hodnota</v>
      </c>
      <c r="C137" s="711">
        <v>118383940.11705518</v>
      </c>
      <c r="D137" s="712">
        <f>D16</f>
        <v>115052278.73656352</v>
      </c>
      <c r="E137" s="713">
        <v>111720617.35607181</v>
      </c>
      <c r="F137" s="714"/>
      <c r="G137" s="715"/>
    </row>
    <row r="141" spans="2:7" ht="13.5" thickBot="1"/>
    <row r="142" spans="2:7" ht="24" thickBot="1">
      <c r="B142" s="700" t="s">
        <v>558</v>
      </c>
      <c r="C142" s="644" t="s">
        <v>575</v>
      </c>
      <c r="D142" s="951" t="s">
        <v>575</v>
      </c>
      <c r="E142" s="663" t="s">
        <v>575</v>
      </c>
      <c r="F142" s="988" t="s">
        <v>567</v>
      </c>
      <c r="G142" s="986" t="s">
        <v>568</v>
      </c>
    </row>
    <row r="143" spans="2:7" ht="39" thickBot="1">
      <c r="B143" s="699"/>
      <c r="C143" s="664" t="str">
        <f>C131</f>
        <v xml:space="preserve">zmena ENPV
pri 10% zmene vstupnej premennej
</v>
      </c>
      <c r="D143" s="952"/>
      <c r="E143" s="665" t="str">
        <f>E131</f>
        <v xml:space="preserve">zmena ENPV
pri -10% zmene vstupnej premennej
</v>
      </c>
      <c r="F143" s="989"/>
      <c r="G143" s="987"/>
    </row>
    <row r="144" spans="2:7" s="683" customFormat="1" ht="41.25" customHeight="1">
      <c r="B144" s="703" t="str">
        <f>B11</f>
        <v>Vstupná premenná:
Investičné náklady</v>
      </c>
      <c r="C144" s="667">
        <f>C132/D132-1</f>
        <v>-0.25435204075207152</v>
      </c>
      <c r="D144" s="717">
        <f>D132/D132-1</f>
        <v>0</v>
      </c>
      <c r="E144" s="673">
        <f>E132/D132-1</f>
        <v>0.25435204075207096</v>
      </c>
      <c r="F144" s="675" t="str">
        <f t="shared" ref="F144:F149" si="20">IF(ABS(C144)&gt;10%,"Áno","Nie")</f>
        <v>Áno</v>
      </c>
      <c r="G144" s="676" t="str">
        <f t="shared" ref="G144:G149" si="21">IF(ABS(E144)&gt;10%,"Áno","Nie")</f>
        <v>Áno</v>
      </c>
    </row>
    <row r="145" spans="2:7" s="683" customFormat="1" ht="41.25" customHeight="1">
      <c r="B145" s="703" t="str">
        <f>B12</f>
        <v>Vstupná premenná:
Prevádzkové náklady</v>
      </c>
      <c r="C145" s="667">
        <f>C133/D133-1</f>
        <v>0.29944437433164794</v>
      </c>
      <c r="D145" s="673">
        <f>D133/D133-1</f>
        <v>0</v>
      </c>
      <c r="E145" s="673">
        <f>E133/D133-1</f>
        <v>-0.29944437433164839</v>
      </c>
      <c r="F145" s="675" t="str">
        <f t="shared" si="20"/>
        <v>Áno</v>
      </c>
      <c r="G145" s="676" t="str">
        <f t="shared" si="21"/>
        <v>Áno</v>
      </c>
    </row>
    <row r="146" spans="2:7" s="683" customFormat="1" ht="41.25" customHeight="1">
      <c r="B146" s="703" t="str">
        <f t="shared" ref="B146:B148" si="22">B13</f>
        <v>Vstupná premenná:
Počet cestujúcich</v>
      </c>
      <c r="C146" s="667">
        <f t="shared" ref="C146:C148" si="23">C134/D134-1</f>
        <v>2.4266681667811651E-2</v>
      </c>
      <c r="D146" s="673">
        <f t="shared" ref="D146:D148" si="24">D134/D134-1</f>
        <v>0</v>
      </c>
      <c r="E146" s="673">
        <f t="shared" ref="E146:E148" si="25">E134/D134-1</f>
        <v>-2.4266681667812207E-2</v>
      </c>
      <c r="F146" s="675" t="str">
        <f t="shared" ref="F146:F148" si="26">IF(ABS(C146)&gt;10%,"Áno","Nie")</f>
        <v>Nie</v>
      </c>
      <c r="G146" s="676" t="str">
        <f t="shared" ref="G146:G148" si="27">IF(ABS(E146)&gt;10%,"Áno","Nie")</f>
        <v>Nie</v>
      </c>
    </row>
    <row r="147" spans="2:7" s="683" customFormat="1" ht="41.25" customHeight="1">
      <c r="B147" s="703" t="str">
        <f t="shared" si="22"/>
        <v>Vstupná premenná:
Úspora času cestujúci</v>
      </c>
      <c r="C147" s="667">
        <f t="shared" si="23"/>
        <v>2.4266681667811429E-2</v>
      </c>
      <c r="D147" s="673">
        <f t="shared" si="24"/>
        <v>0</v>
      </c>
      <c r="E147" s="673">
        <f t="shared" si="25"/>
        <v>-2.4266681667812207E-2</v>
      </c>
      <c r="F147" s="675" t="str">
        <f t="shared" si="26"/>
        <v>Nie</v>
      </c>
      <c r="G147" s="676" t="str">
        <f t="shared" si="27"/>
        <v>Nie</v>
      </c>
    </row>
    <row r="148" spans="2:7" s="683" customFormat="1" ht="41.25" customHeight="1">
      <c r="B148" s="703" t="str">
        <f t="shared" si="22"/>
        <v>Vstupná premenná:
Úspora času prípr. vlaku</v>
      </c>
      <c r="C148" s="667">
        <f t="shared" si="23"/>
        <v>1.6798173803713734E-3</v>
      </c>
      <c r="D148" s="673">
        <f t="shared" si="24"/>
        <v>0</v>
      </c>
      <c r="E148" s="673">
        <f t="shared" si="25"/>
        <v>-1.6798173803720395E-3</v>
      </c>
      <c r="F148" s="675" t="str">
        <f t="shared" si="26"/>
        <v>Nie</v>
      </c>
      <c r="G148" s="676" t="str">
        <f t="shared" si="27"/>
        <v>Nie</v>
      </c>
    </row>
    <row r="149" spans="2:7" s="683" customFormat="1" ht="41.25" customHeight="1" thickBot="1">
      <c r="B149" s="710" t="str">
        <f>B16</f>
        <v>Vstupná premenná:
Zostatková hodnota</v>
      </c>
      <c r="C149" s="718">
        <f>C137/D137-1</f>
        <v>2.8957804374480922E-2</v>
      </c>
      <c r="D149" s="679">
        <f>D137/D137-1</f>
        <v>0</v>
      </c>
      <c r="E149" s="679">
        <f>E137/D137-1</f>
        <v>-2.8957804374481366E-2</v>
      </c>
      <c r="F149" s="718" t="str">
        <f t="shared" si="20"/>
        <v>Nie</v>
      </c>
      <c r="G149" s="719" t="str">
        <f t="shared" si="21"/>
        <v>Nie</v>
      </c>
    </row>
    <row r="188" spans="2:9" s="642" customFormat="1"/>
    <row r="189" spans="2:9" ht="13.5" thickBot="1"/>
    <row r="190" spans="2:9" ht="24.75" customHeight="1">
      <c r="B190" s="966" t="s">
        <v>569</v>
      </c>
      <c r="C190" s="968" t="s">
        <v>570</v>
      </c>
      <c r="D190" s="971" t="s">
        <v>571</v>
      </c>
      <c r="E190" s="971" t="s">
        <v>572</v>
      </c>
      <c r="F190" s="971"/>
      <c r="G190" s="971"/>
      <c r="H190" s="971"/>
      <c r="I190" s="974"/>
    </row>
    <row r="191" spans="2:9" ht="24.75" customHeight="1" thickBot="1">
      <c r="B191" s="967"/>
      <c r="C191" s="969"/>
      <c r="D191" s="972"/>
      <c r="E191" s="972"/>
      <c r="F191" s="972"/>
      <c r="G191" s="972"/>
      <c r="H191" s="972"/>
      <c r="I191" s="975"/>
    </row>
    <row r="192" spans="2:9" ht="13.5" thickBot="1">
      <c r="B192" s="699"/>
      <c r="C192" s="992"/>
      <c r="D192" s="973"/>
      <c r="E192" s="973"/>
      <c r="F192" s="973"/>
      <c r="G192" s="973"/>
      <c r="H192" s="973"/>
      <c r="I192" s="976"/>
    </row>
    <row r="193" spans="2:9" s="683" customFormat="1" ht="54" customHeight="1">
      <c r="B193" s="993" t="s">
        <v>575</v>
      </c>
      <c r="C193" s="832" t="str">
        <f>B11</f>
        <v>Vstupná premenná:
Investičné náklady</v>
      </c>
      <c r="D193" s="834">
        <v>0.37765185318225752</v>
      </c>
      <c r="E193" s="995" t="s">
        <v>715</v>
      </c>
      <c r="F193" s="996"/>
      <c r="G193" s="996"/>
      <c r="H193" s="996"/>
      <c r="I193" s="997"/>
    </row>
    <row r="194" spans="2:9" s="683" customFormat="1" ht="60.75" customHeight="1">
      <c r="B194" s="993"/>
      <c r="C194" s="832" t="str">
        <f>B12</f>
        <v>Vstupná premenná:
Prevádzkové náklady</v>
      </c>
      <c r="D194" s="820">
        <v>-0.40399953927889698</v>
      </c>
      <c r="E194" s="995" t="s">
        <v>716</v>
      </c>
      <c r="F194" s="996"/>
      <c r="G194" s="996"/>
      <c r="H194" s="996"/>
      <c r="I194" s="997"/>
    </row>
    <row r="195" spans="2:9" s="683" customFormat="1" ht="60.75" customHeight="1">
      <c r="B195" s="993"/>
      <c r="C195" s="832" t="str">
        <f t="shared" ref="C195:C197" si="28">B13</f>
        <v>Vstupná premenná:
Počet cestujúcich</v>
      </c>
      <c r="D195" s="818" t="s">
        <v>573</v>
      </c>
      <c r="E195" s="990" t="s">
        <v>574</v>
      </c>
      <c r="F195" s="990"/>
      <c r="G195" s="990"/>
      <c r="H195" s="990"/>
      <c r="I195" s="991"/>
    </row>
    <row r="196" spans="2:9" s="683" customFormat="1" ht="60.75" customHeight="1">
      <c r="B196" s="993"/>
      <c r="C196" s="832" t="str">
        <f t="shared" si="28"/>
        <v>Vstupná premenná:
Úspora času cestujúci</v>
      </c>
      <c r="D196" s="818" t="s">
        <v>573</v>
      </c>
      <c r="E196" s="990" t="s">
        <v>574</v>
      </c>
      <c r="F196" s="990"/>
      <c r="G196" s="990"/>
      <c r="H196" s="990"/>
      <c r="I196" s="991"/>
    </row>
    <row r="197" spans="2:9" s="683" customFormat="1" ht="60.75" customHeight="1">
      <c r="B197" s="993"/>
      <c r="C197" s="832" t="str">
        <f t="shared" si="28"/>
        <v>Vstupná premenná:
Úspora času prípr. vlaku</v>
      </c>
      <c r="D197" s="818" t="s">
        <v>573</v>
      </c>
      <c r="E197" s="990" t="s">
        <v>574</v>
      </c>
      <c r="F197" s="990"/>
      <c r="G197" s="990"/>
      <c r="H197" s="990"/>
      <c r="I197" s="991"/>
    </row>
    <row r="198" spans="2:9" s="683" customFormat="1" ht="54" customHeight="1" thickBot="1">
      <c r="B198" s="994"/>
      <c r="C198" s="833" t="str">
        <f>B16</f>
        <v>Vstupná premenná:
Zostatková hodnota</v>
      </c>
      <c r="D198" s="819" t="s">
        <v>573</v>
      </c>
      <c r="E198" s="998" t="s">
        <v>574</v>
      </c>
      <c r="F198" s="999"/>
      <c r="G198" s="999"/>
      <c r="H198" s="999"/>
      <c r="I198" s="1000"/>
    </row>
  </sheetData>
  <sheetProtection algorithmName="SHA-512" hashValue="lxQDQCfzA2DOYUEEhrhS0hpCM4vDHnToDaUMEM/066KZLywXkvQW3DZvPPR0ngJIQEkQcSBwf5qELzD2UGQMDg==" saltValue="IpJfl310vZncBXjJcvxyBQ==" spinCount="100000" sheet="1" objects="1" scenarios="1"/>
  <mergeCells count="24">
    <mergeCell ref="E197:I197"/>
    <mergeCell ref="B190:B191"/>
    <mergeCell ref="C190:C192"/>
    <mergeCell ref="D190:D192"/>
    <mergeCell ref="E190:I192"/>
    <mergeCell ref="B193:B198"/>
    <mergeCell ref="E193:I193"/>
    <mergeCell ref="E194:I194"/>
    <mergeCell ref="E198:I198"/>
    <mergeCell ref="E195:I195"/>
    <mergeCell ref="E196:I196"/>
    <mergeCell ref="D84:D85"/>
    <mergeCell ref="F84:F85"/>
    <mergeCell ref="G84:G85"/>
    <mergeCell ref="D130:D131"/>
    <mergeCell ref="D142:D143"/>
    <mergeCell ref="F142:F143"/>
    <mergeCell ref="G142:G143"/>
    <mergeCell ref="D72:D73"/>
    <mergeCell ref="B2:U5"/>
    <mergeCell ref="D9:D10"/>
    <mergeCell ref="D21:D22"/>
    <mergeCell ref="F21:F22"/>
    <mergeCell ref="G21:G22"/>
  </mergeCells>
  <conditionalFormatting sqref="F23:G28">
    <cfRule type="cellIs" dxfId="10" priority="3" operator="equal">
      <formula>"Áno"</formula>
    </cfRule>
  </conditionalFormatting>
  <conditionalFormatting sqref="F86:G91">
    <cfRule type="cellIs" dxfId="9" priority="2" operator="equal">
      <formula>"Áno"</formula>
    </cfRule>
  </conditionalFormatting>
  <conditionalFormatting sqref="F144:G149">
    <cfRule type="cellIs" dxfId="8" priority="1" operator="equal">
      <formula>"Áno"</formula>
    </cfRule>
  </conditionalFormatting>
  <pageMargins left="0.7" right="0.7" top="0.75" bottom="0.75" header="0.3" footer="0.3"/>
  <pageSetup orientation="portrait" verticalDpi="0"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BFA9-06CA-164F-ABC9-3989587D7F8C}">
  <sheetPr>
    <tabColor rgb="FF0070C0"/>
  </sheetPr>
  <dimension ref="B1:V63"/>
  <sheetViews>
    <sheetView zoomScale="80" zoomScaleNormal="80" workbookViewId="0">
      <pane ySplit="7" topLeftCell="A8" activePane="bottomLeft" state="frozen"/>
      <selection pane="bottomLeft" activeCell="J61" sqref="J61"/>
    </sheetView>
  </sheetViews>
  <sheetFormatPr defaultColWidth="8.85546875" defaultRowHeight="12.75"/>
  <cols>
    <col min="1" max="1" width="3.140625" style="641" customWidth="1"/>
    <col min="2" max="2" width="12.85546875" style="641" customWidth="1"/>
    <col min="3" max="3" width="20.28515625" style="641" customWidth="1"/>
    <col min="4" max="4" width="43.42578125" style="641" customWidth="1"/>
    <col min="5" max="5" width="15" style="641" customWidth="1"/>
    <col min="6" max="6" width="14.7109375" style="641" customWidth="1"/>
    <col min="7" max="8" width="15.85546875" style="641" customWidth="1"/>
    <col min="9" max="9" width="18.42578125" style="641" customWidth="1"/>
    <col min="10" max="10" width="36.140625" style="641" customWidth="1"/>
    <col min="11" max="12" width="20.28515625" style="641" customWidth="1"/>
    <col min="13" max="13" width="31.42578125" style="641" customWidth="1"/>
    <col min="14" max="14" width="12" style="641" bestFit="1" customWidth="1"/>
    <col min="15" max="16" width="16.42578125" style="641" customWidth="1"/>
    <col min="17" max="255" width="8.85546875" style="641"/>
    <col min="256" max="256" width="3.140625" style="641" customWidth="1"/>
    <col min="257" max="257" width="12.85546875" style="641" customWidth="1"/>
    <col min="258" max="258" width="20.28515625" style="641" customWidth="1"/>
    <col min="259" max="259" width="43.42578125" style="641" customWidth="1"/>
    <col min="260" max="260" width="15" style="641" customWidth="1"/>
    <col min="261" max="261" width="14.7109375" style="641" customWidth="1"/>
    <col min="262" max="262" width="15.85546875" style="641" customWidth="1"/>
    <col min="263" max="263" width="18.42578125" style="641" customWidth="1"/>
    <col min="264" max="264" width="16.140625" style="641" customWidth="1"/>
    <col min="265" max="511" width="8.85546875" style="641"/>
    <col min="512" max="512" width="3.140625" style="641" customWidth="1"/>
    <col min="513" max="513" width="12.85546875" style="641" customWidth="1"/>
    <col min="514" max="514" width="20.28515625" style="641" customWidth="1"/>
    <col min="515" max="515" width="43.42578125" style="641" customWidth="1"/>
    <col min="516" max="516" width="15" style="641" customWidth="1"/>
    <col min="517" max="517" width="14.7109375" style="641" customWidth="1"/>
    <col min="518" max="518" width="15.85546875" style="641" customWidth="1"/>
    <col min="519" max="519" width="18.42578125" style="641" customWidth="1"/>
    <col min="520" max="520" width="16.140625" style="641" customWidth="1"/>
    <col min="521" max="767" width="8.85546875" style="641"/>
    <col min="768" max="768" width="3.140625" style="641" customWidth="1"/>
    <col min="769" max="769" width="12.85546875" style="641" customWidth="1"/>
    <col min="770" max="770" width="20.28515625" style="641" customWidth="1"/>
    <col min="771" max="771" width="43.42578125" style="641" customWidth="1"/>
    <col min="772" max="772" width="15" style="641" customWidth="1"/>
    <col min="773" max="773" width="14.7109375" style="641" customWidth="1"/>
    <col min="774" max="774" width="15.85546875" style="641" customWidth="1"/>
    <col min="775" max="775" width="18.42578125" style="641" customWidth="1"/>
    <col min="776" max="776" width="16.140625" style="641" customWidth="1"/>
    <col min="777" max="1023" width="8.85546875" style="641"/>
    <col min="1024" max="1024" width="3.140625" style="641" customWidth="1"/>
    <col min="1025" max="1025" width="12.85546875" style="641" customWidth="1"/>
    <col min="1026" max="1026" width="20.28515625" style="641" customWidth="1"/>
    <col min="1027" max="1027" width="43.42578125" style="641" customWidth="1"/>
    <col min="1028" max="1028" width="15" style="641" customWidth="1"/>
    <col min="1029" max="1029" width="14.7109375" style="641" customWidth="1"/>
    <col min="1030" max="1030" width="15.85546875" style="641" customWidth="1"/>
    <col min="1031" max="1031" width="18.42578125" style="641" customWidth="1"/>
    <col min="1032" max="1032" width="16.140625" style="641" customWidth="1"/>
    <col min="1033" max="1279" width="8.85546875" style="641"/>
    <col min="1280" max="1280" width="3.140625" style="641" customWidth="1"/>
    <col min="1281" max="1281" width="12.85546875" style="641" customWidth="1"/>
    <col min="1282" max="1282" width="20.28515625" style="641" customWidth="1"/>
    <col min="1283" max="1283" width="43.42578125" style="641" customWidth="1"/>
    <col min="1284" max="1284" width="15" style="641" customWidth="1"/>
    <col min="1285" max="1285" width="14.7109375" style="641" customWidth="1"/>
    <col min="1286" max="1286" width="15.85546875" style="641" customWidth="1"/>
    <col min="1287" max="1287" width="18.42578125" style="641" customWidth="1"/>
    <col min="1288" max="1288" width="16.140625" style="641" customWidth="1"/>
    <col min="1289" max="1535" width="8.85546875" style="641"/>
    <col min="1536" max="1536" width="3.140625" style="641" customWidth="1"/>
    <col min="1537" max="1537" width="12.85546875" style="641" customWidth="1"/>
    <col min="1538" max="1538" width="20.28515625" style="641" customWidth="1"/>
    <col min="1539" max="1539" width="43.42578125" style="641" customWidth="1"/>
    <col min="1540" max="1540" width="15" style="641" customWidth="1"/>
    <col min="1541" max="1541" width="14.7109375" style="641" customWidth="1"/>
    <col min="1542" max="1542" width="15.85546875" style="641" customWidth="1"/>
    <col min="1543" max="1543" width="18.42578125" style="641" customWidth="1"/>
    <col min="1544" max="1544" width="16.140625" style="641" customWidth="1"/>
    <col min="1545" max="1791" width="8.85546875" style="641"/>
    <col min="1792" max="1792" width="3.140625" style="641" customWidth="1"/>
    <col min="1793" max="1793" width="12.85546875" style="641" customWidth="1"/>
    <col min="1794" max="1794" width="20.28515625" style="641" customWidth="1"/>
    <col min="1795" max="1795" width="43.42578125" style="641" customWidth="1"/>
    <col min="1796" max="1796" width="15" style="641" customWidth="1"/>
    <col min="1797" max="1797" width="14.7109375" style="641" customWidth="1"/>
    <col min="1798" max="1798" width="15.85546875" style="641" customWidth="1"/>
    <col min="1799" max="1799" width="18.42578125" style="641" customWidth="1"/>
    <col min="1800" max="1800" width="16.140625" style="641" customWidth="1"/>
    <col min="1801" max="2047" width="8.85546875" style="641"/>
    <col min="2048" max="2048" width="3.140625" style="641" customWidth="1"/>
    <col min="2049" max="2049" width="12.85546875" style="641" customWidth="1"/>
    <col min="2050" max="2050" width="20.28515625" style="641" customWidth="1"/>
    <col min="2051" max="2051" width="43.42578125" style="641" customWidth="1"/>
    <col min="2052" max="2052" width="15" style="641" customWidth="1"/>
    <col min="2053" max="2053" width="14.7109375" style="641" customWidth="1"/>
    <col min="2054" max="2054" width="15.85546875" style="641" customWidth="1"/>
    <col min="2055" max="2055" width="18.42578125" style="641" customWidth="1"/>
    <col min="2056" max="2056" width="16.140625" style="641" customWidth="1"/>
    <col min="2057" max="2303" width="8.85546875" style="641"/>
    <col min="2304" max="2304" width="3.140625" style="641" customWidth="1"/>
    <col min="2305" max="2305" width="12.85546875" style="641" customWidth="1"/>
    <col min="2306" max="2306" width="20.28515625" style="641" customWidth="1"/>
    <col min="2307" max="2307" width="43.42578125" style="641" customWidth="1"/>
    <col min="2308" max="2308" width="15" style="641" customWidth="1"/>
    <col min="2309" max="2309" width="14.7109375" style="641" customWidth="1"/>
    <col min="2310" max="2310" width="15.85546875" style="641" customWidth="1"/>
    <col min="2311" max="2311" width="18.42578125" style="641" customWidth="1"/>
    <col min="2312" max="2312" width="16.140625" style="641" customWidth="1"/>
    <col min="2313" max="2559" width="8.85546875" style="641"/>
    <col min="2560" max="2560" width="3.140625" style="641" customWidth="1"/>
    <col min="2561" max="2561" width="12.85546875" style="641" customWidth="1"/>
    <col min="2562" max="2562" width="20.28515625" style="641" customWidth="1"/>
    <col min="2563" max="2563" width="43.42578125" style="641" customWidth="1"/>
    <col min="2564" max="2564" width="15" style="641" customWidth="1"/>
    <col min="2565" max="2565" width="14.7109375" style="641" customWidth="1"/>
    <col min="2566" max="2566" width="15.85546875" style="641" customWidth="1"/>
    <col min="2567" max="2567" width="18.42578125" style="641" customWidth="1"/>
    <col min="2568" max="2568" width="16.140625" style="641" customWidth="1"/>
    <col min="2569" max="2815" width="8.85546875" style="641"/>
    <col min="2816" max="2816" width="3.140625" style="641" customWidth="1"/>
    <col min="2817" max="2817" width="12.85546875" style="641" customWidth="1"/>
    <col min="2818" max="2818" width="20.28515625" style="641" customWidth="1"/>
    <col min="2819" max="2819" width="43.42578125" style="641" customWidth="1"/>
    <col min="2820" max="2820" width="15" style="641" customWidth="1"/>
    <col min="2821" max="2821" width="14.7109375" style="641" customWidth="1"/>
    <col min="2822" max="2822" width="15.85546875" style="641" customWidth="1"/>
    <col min="2823" max="2823" width="18.42578125" style="641" customWidth="1"/>
    <col min="2824" max="2824" width="16.140625" style="641" customWidth="1"/>
    <col min="2825" max="3071" width="8.85546875" style="641"/>
    <col min="3072" max="3072" width="3.140625" style="641" customWidth="1"/>
    <col min="3073" max="3073" width="12.85546875" style="641" customWidth="1"/>
    <col min="3074" max="3074" width="20.28515625" style="641" customWidth="1"/>
    <col min="3075" max="3075" width="43.42578125" style="641" customWidth="1"/>
    <col min="3076" max="3076" width="15" style="641" customWidth="1"/>
    <col min="3077" max="3077" width="14.7109375" style="641" customWidth="1"/>
    <col min="3078" max="3078" width="15.85546875" style="641" customWidth="1"/>
    <col min="3079" max="3079" width="18.42578125" style="641" customWidth="1"/>
    <col min="3080" max="3080" width="16.140625" style="641" customWidth="1"/>
    <col min="3081" max="3327" width="8.85546875" style="641"/>
    <col min="3328" max="3328" width="3.140625" style="641" customWidth="1"/>
    <col min="3329" max="3329" width="12.85546875" style="641" customWidth="1"/>
    <col min="3330" max="3330" width="20.28515625" style="641" customWidth="1"/>
    <col min="3331" max="3331" width="43.42578125" style="641" customWidth="1"/>
    <col min="3332" max="3332" width="15" style="641" customWidth="1"/>
    <col min="3333" max="3333" width="14.7109375" style="641" customWidth="1"/>
    <col min="3334" max="3334" width="15.85546875" style="641" customWidth="1"/>
    <col min="3335" max="3335" width="18.42578125" style="641" customWidth="1"/>
    <col min="3336" max="3336" width="16.140625" style="641" customWidth="1"/>
    <col min="3337" max="3583" width="8.85546875" style="641"/>
    <col min="3584" max="3584" width="3.140625" style="641" customWidth="1"/>
    <col min="3585" max="3585" width="12.85546875" style="641" customWidth="1"/>
    <col min="3586" max="3586" width="20.28515625" style="641" customWidth="1"/>
    <col min="3587" max="3587" width="43.42578125" style="641" customWidth="1"/>
    <col min="3588" max="3588" width="15" style="641" customWidth="1"/>
    <col min="3589" max="3589" width="14.7109375" style="641" customWidth="1"/>
    <col min="3590" max="3590" width="15.85546875" style="641" customWidth="1"/>
    <col min="3591" max="3591" width="18.42578125" style="641" customWidth="1"/>
    <col min="3592" max="3592" width="16.140625" style="641" customWidth="1"/>
    <col min="3593" max="3839" width="8.85546875" style="641"/>
    <col min="3840" max="3840" width="3.140625" style="641" customWidth="1"/>
    <col min="3841" max="3841" width="12.85546875" style="641" customWidth="1"/>
    <col min="3842" max="3842" width="20.28515625" style="641" customWidth="1"/>
    <col min="3843" max="3843" width="43.42578125" style="641" customWidth="1"/>
    <col min="3844" max="3844" width="15" style="641" customWidth="1"/>
    <col min="3845" max="3845" width="14.7109375" style="641" customWidth="1"/>
    <col min="3846" max="3846" width="15.85546875" style="641" customWidth="1"/>
    <col min="3847" max="3847" width="18.42578125" style="641" customWidth="1"/>
    <col min="3848" max="3848" width="16.140625" style="641" customWidth="1"/>
    <col min="3849" max="4095" width="8.85546875" style="641"/>
    <col min="4096" max="4096" width="3.140625" style="641" customWidth="1"/>
    <col min="4097" max="4097" width="12.85546875" style="641" customWidth="1"/>
    <col min="4098" max="4098" width="20.28515625" style="641" customWidth="1"/>
    <col min="4099" max="4099" width="43.42578125" style="641" customWidth="1"/>
    <col min="4100" max="4100" width="15" style="641" customWidth="1"/>
    <col min="4101" max="4101" width="14.7109375" style="641" customWidth="1"/>
    <col min="4102" max="4102" width="15.85546875" style="641" customWidth="1"/>
    <col min="4103" max="4103" width="18.42578125" style="641" customWidth="1"/>
    <col min="4104" max="4104" width="16.140625" style="641" customWidth="1"/>
    <col min="4105" max="4351" width="8.85546875" style="641"/>
    <col min="4352" max="4352" width="3.140625" style="641" customWidth="1"/>
    <col min="4353" max="4353" width="12.85546875" style="641" customWidth="1"/>
    <col min="4354" max="4354" width="20.28515625" style="641" customWidth="1"/>
    <col min="4355" max="4355" width="43.42578125" style="641" customWidth="1"/>
    <col min="4356" max="4356" width="15" style="641" customWidth="1"/>
    <col min="4357" max="4357" width="14.7109375" style="641" customWidth="1"/>
    <col min="4358" max="4358" width="15.85546875" style="641" customWidth="1"/>
    <col min="4359" max="4359" width="18.42578125" style="641" customWidth="1"/>
    <col min="4360" max="4360" width="16.140625" style="641" customWidth="1"/>
    <col min="4361" max="4607" width="8.85546875" style="641"/>
    <col min="4608" max="4608" width="3.140625" style="641" customWidth="1"/>
    <col min="4609" max="4609" width="12.85546875" style="641" customWidth="1"/>
    <col min="4610" max="4610" width="20.28515625" style="641" customWidth="1"/>
    <col min="4611" max="4611" width="43.42578125" style="641" customWidth="1"/>
    <col min="4612" max="4612" width="15" style="641" customWidth="1"/>
    <col min="4613" max="4613" width="14.7109375" style="641" customWidth="1"/>
    <col min="4614" max="4614" width="15.85546875" style="641" customWidth="1"/>
    <col min="4615" max="4615" width="18.42578125" style="641" customWidth="1"/>
    <col min="4616" max="4616" width="16.140625" style="641" customWidth="1"/>
    <col min="4617" max="4863" width="8.85546875" style="641"/>
    <col min="4864" max="4864" width="3.140625" style="641" customWidth="1"/>
    <col min="4865" max="4865" width="12.85546875" style="641" customWidth="1"/>
    <col min="4866" max="4866" width="20.28515625" style="641" customWidth="1"/>
    <col min="4867" max="4867" width="43.42578125" style="641" customWidth="1"/>
    <col min="4868" max="4868" width="15" style="641" customWidth="1"/>
    <col min="4869" max="4869" width="14.7109375" style="641" customWidth="1"/>
    <col min="4870" max="4870" width="15.85546875" style="641" customWidth="1"/>
    <col min="4871" max="4871" width="18.42578125" style="641" customWidth="1"/>
    <col min="4872" max="4872" width="16.140625" style="641" customWidth="1"/>
    <col min="4873" max="5119" width="8.85546875" style="641"/>
    <col min="5120" max="5120" width="3.140625" style="641" customWidth="1"/>
    <col min="5121" max="5121" width="12.85546875" style="641" customWidth="1"/>
    <col min="5122" max="5122" width="20.28515625" style="641" customWidth="1"/>
    <col min="5123" max="5123" width="43.42578125" style="641" customWidth="1"/>
    <col min="5124" max="5124" width="15" style="641" customWidth="1"/>
    <col min="5125" max="5125" width="14.7109375" style="641" customWidth="1"/>
    <col min="5126" max="5126" width="15.85546875" style="641" customWidth="1"/>
    <col min="5127" max="5127" width="18.42578125" style="641" customWidth="1"/>
    <col min="5128" max="5128" width="16.140625" style="641" customWidth="1"/>
    <col min="5129" max="5375" width="8.85546875" style="641"/>
    <col min="5376" max="5376" width="3.140625" style="641" customWidth="1"/>
    <col min="5377" max="5377" width="12.85546875" style="641" customWidth="1"/>
    <col min="5378" max="5378" width="20.28515625" style="641" customWidth="1"/>
    <col min="5379" max="5379" width="43.42578125" style="641" customWidth="1"/>
    <col min="5380" max="5380" width="15" style="641" customWidth="1"/>
    <col min="5381" max="5381" width="14.7109375" style="641" customWidth="1"/>
    <col min="5382" max="5382" width="15.85546875" style="641" customWidth="1"/>
    <col min="5383" max="5383" width="18.42578125" style="641" customWidth="1"/>
    <col min="5384" max="5384" width="16.140625" style="641" customWidth="1"/>
    <col min="5385" max="5631" width="8.85546875" style="641"/>
    <col min="5632" max="5632" width="3.140625" style="641" customWidth="1"/>
    <col min="5633" max="5633" width="12.85546875" style="641" customWidth="1"/>
    <col min="5634" max="5634" width="20.28515625" style="641" customWidth="1"/>
    <col min="5635" max="5635" width="43.42578125" style="641" customWidth="1"/>
    <col min="5636" max="5636" width="15" style="641" customWidth="1"/>
    <col min="5637" max="5637" width="14.7109375" style="641" customWidth="1"/>
    <col min="5638" max="5638" width="15.85546875" style="641" customWidth="1"/>
    <col min="5639" max="5639" width="18.42578125" style="641" customWidth="1"/>
    <col min="5640" max="5640" width="16.140625" style="641" customWidth="1"/>
    <col min="5641" max="5887" width="8.85546875" style="641"/>
    <col min="5888" max="5888" width="3.140625" style="641" customWidth="1"/>
    <col min="5889" max="5889" width="12.85546875" style="641" customWidth="1"/>
    <col min="5890" max="5890" width="20.28515625" style="641" customWidth="1"/>
    <col min="5891" max="5891" width="43.42578125" style="641" customWidth="1"/>
    <col min="5892" max="5892" width="15" style="641" customWidth="1"/>
    <col min="5893" max="5893" width="14.7109375" style="641" customWidth="1"/>
    <col min="5894" max="5894" width="15.85546875" style="641" customWidth="1"/>
    <col min="5895" max="5895" width="18.42578125" style="641" customWidth="1"/>
    <col min="5896" max="5896" width="16.140625" style="641" customWidth="1"/>
    <col min="5897" max="6143" width="8.85546875" style="641"/>
    <col min="6144" max="6144" width="3.140625" style="641" customWidth="1"/>
    <col min="6145" max="6145" width="12.85546875" style="641" customWidth="1"/>
    <col min="6146" max="6146" width="20.28515625" style="641" customWidth="1"/>
    <col min="6147" max="6147" width="43.42578125" style="641" customWidth="1"/>
    <col min="6148" max="6148" width="15" style="641" customWidth="1"/>
    <col min="6149" max="6149" width="14.7109375" style="641" customWidth="1"/>
    <col min="6150" max="6150" width="15.85546875" style="641" customWidth="1"/>
    <col min="6151" max="6151" width="18.42578125" style="641" customWidth="1"/>
    <col min="6152" max="6152" width="16.140625" style="641" customWidth="1"/>
    <col min="6153" max="6399" width="8.85546875" style="641"/>
    <col min="6400" max="6400" width="3.140625" style="641" customWidth="1"/>
    <col min="6401" max="6401" width="12.85546875" style="641" customWidth="1"/>
    <col min="6402" max="6402" width="20.28515625" style="641" customWidth="1"/>
    <col min="6403" max="6403" width="43.42578125" style="641" customWidth="1"/>
    <col min="6404" max="6404" width="15" style="641" customWidth="1"/>
    <col min="6405" max="6405" width="14.7109375" style="641" customWidth="1"/>
    <col min="6406" max="6406" width="15.85546875" style="641" customWidth="1"/>
    <col min="6407" max="6407" width="18.42578125" style="641" customWidth="1"/>
    <col min="6408" max="6408" width="16.140625" style="641" customWidth="1"/>
    <col min="6409" max="6655" width="8.85546875" style="641"/>
    <col min="6656" max="6656" width="3.140625" style="641" customWidth="1"/>
    <col min="6657" max="6657" width="12.85546875" style="641" customWidth="1"/>
    <col min="6658" max="6658" width="20.28515625" style="641" customWidth="1"/>
    <col min="6659" max="6659" width="43.42578125" style="641" customWidth="1"/>
    <col min="6660" max="6660" width="15" style="641" customWidth="1"/>
    <col min="6661" max="6661" width="14.7109375" style="641" customWidth="1"/>
    <col min="6662" max="6662" width="15.85546875" style="641" customWidth="1"/>
    <col min="6663" max="6663" width="18.42578125" style="641" customWidth="1"/>
    <col min="6664" max="6664" width="16.140625" style="641" customWidth="1"/>
    <col min="6665" max="6911" width="8.85546875" style="641"/>
    <col min="6912" max="6912" width="3.140625" style="641" customWidth="1"/>
    <col min="6913" max="6913" width="12.85546875" style="641" customWidth="1"/>
    <col min="6914" max="6914" width="20.28515625" style="641" customWidth="1"/>
    <col min="6915" max="6915" width="43.42578125" style="641" customWidth="1"/>
    <col min="6916" max="6916" width="15" style="641" customWidth="1"/>
    <col min="6917" max="6917" width="14.7109375" style="641" customWidth="1"/>
    <col min="6918" max="6918" width="15.85546875" style="641" customWidth="1"/>
    <col min="6919" max="6919" width="18.42578125" style="641" customWidth="1"/>
    <col min="6920" max="6920" width="16.140625" style="641" customWidth="1"/>
    <col min="6921" max="7167" width="8.85546875" style="641"/>
    <col min="7168" max="7168" width="3.140625" style="641" customWidth="1"/>
    <col min="7169" max="7169" width="12.85546875" style="641" customWidth="1"/>
    <col min="7170" max="7170" width="20.28515625" style="641" customWidth="1"/>
    <col min="7171" max="7171" width="43.42578125" style="641" customWidth="1"/>
    <col min="7172" max="7172" width="15" style="641" customWidth="1"/>
    <col min="7173" max="7173" width="14.7109375" style="641" customWidth="1"/>
    <col min="7174" max="7174" width="15.85546875" style="641" customWidth="1"/>
    <col min="7175" max="7175" width="18.42578125" style="641" customWidth="1"/>
    <col min="7176" max="7176" width="16.140625" style="641" customWidth="1"/>
    <col min="7177" max="7423" width="8.85546875" style="641"/>
    <col min="7424" max="7424" width="3.140625" style="641" customWidth="1"/>
    <col min="7425" max="7425" width="12.85546875" style="641" customWidth="1"/>
    <col min="7426" max="7426" width="20.28515625" style="641" customWidth="1"/>
    <col min="7427" max="7427" width="43.42578125" style="641" customWidth="1"/>
    <col min="7428" max="7428" width="15" style="641" customWidth="1"/>
    <col min="7429" max="7429" width="14.7109375" style="641" customWidth="1"/>
    <col min="7430" max="7430" width="15.85546875" style="641" customWidth="1"/>
    <col min="7431" max="7431" width="18.42578125" style="641" customWidth="1"/>
    <col min="7432" max="7432" width="16.140625" style="641" customWidth="1"/>
    <col min="7433" max="7679" width="8.85546875" style="641"/>
    <col min="7680" max="7680" width="3.140625" style="641" customWidth="1"/>
    <col min="7681" max="7681" width="12.85546875" style="641" customWidth="1"/>
    <col min="7682" max="7682" width="20.28515625" style="641" customWidth="1"/>
    <col min="7683" max="7683" width="43.42578125" style="641" customWidth="1"/>
    <col min="7684" max="7684" width="15" style="641" customWidth="1"/>
    <col min="7685" max="7685" width="14.7109375" style="641" customWidth="1"/>
    <col min="7686" max="7686" width="15.85546875" style="641" customWidth="1"/>
    <col min="7687" max="7687" width="18.42578125" style="641" customWidth="1"/>
    <col min="7688" max="7688" width="16.140625" style="641" customWidth="1"/>
    <col min="7689" max="7935" width="8.85546875" style="641"/>
    <col min="7936" max="7936" width="3.140625" style="641" customWidth="1"/>
    <col min="7937" max="7937" width="12.85546875" style="641" customWidth="1"/>
    <col min="7938" max="7938" width="20.28515625" style="641" customWidth="1"/>
    <col min="7939" max="7939" width="43.42578125" style="641" customWidth="1"/>
    <col min="7940" max="7940" width="15" style="641" customWidth="1"/>
    <col min="7941" max="7941" width="14.7109375" style="641" customWidth="1"/>
    <col min="7942" max="7942" width="15.85546875" style="641" customWidth="1"/>
    <col min="7943" max="7943" width="18.42578125" style="641" customWidth="1"/>
    <col min="7944" max="7944" width="16.140625" style="641" customWidth="1"/>
    <col min="7945" max="8191" width="8.85546875" style="641"/>
    <col min="8192" max="8192" width="3.140625" style="641" customWidth="1"/>
    <col min="8193" max="8193" width="12.85546875" style="641" customWidth="1"/>
    <col min="8194" max="8194" width="20.28515625" style="641" customWidth="1"/>
    <col min="8195" max="8195" width="43.42578125" style="641" customWidth="1"/>
    <col min="8196" max="8196" width="15" style="641" customWidth="1"/>
    <col min="8197" max="8197" width="14.7109375" style="641" customWidth="1"/>
    <col min="8198" max="8198" width="15.85546875" style="641" customWidth="1"/>
    <col min="8199" max="8199" width="18.42578125" style="641" customWidth="1"/>
    <col min="8200" max="8200" width="16.140625" style="641" customWidth="1"/>
    <col min="8201" max="8447" width="8.85546875" style="641"/>
    <col min="8448" max="8448" width="3.140625" style="641" customWidth="1"/>
    <col min="8449" max="8449" width="12.85546875" style="641" customWidth="1"/>
    <col min="8450" max="8450" width="20.28515625" style="641" customWidth="1"/>
    <col min="8451" max="8451" width="43.42578125" style="641" customWidth="1"/>
    <col min="8452" max="8452" width="15" style="641" customWidth="1"/>
    <col min="8453" max="8453" width="14.7109375" style="641" customWidth="1"/>
    <col min="8454" max="8454" width="15.85546875" style="641" customWidth="1"/>
    <col min="8455" max="8455" width="18.42578125" style="641" customWidth="1"/>
    <col min="8456" max="8456" width="16.140625" style="641" customWidth="1"/>
    <col min="8457" max="8703" width="8.85546875" style="641"/>
    <col min="8704" max="8704" width="3.140625" style="641" customWidth="1"/>
    <col min="8705" max="8705" width="12.85546875" style="641" customWidth="1"/>
    <col min="8706" max="8706" width="20.28515625" style="641" customWidth="1"/>
    <col min="8707" max="8707" width="43.42578125" style="641" customWidth="1"/>
    <col min="8708" max="8708" width="15" style="641" customWidth="1"/>
    <col min="8709" max="8709" width="14.7109375" style="641" customWidth="1"/>
    <col min="8710" max="8710" width="15.85546875" style="641" customWidth="1"/>
    <col min="8711" max="8711" width="18.42578125" style="641" customWidth="1"/>
    <col min="8712" max="8712" width="16.140625" style="641" customWidth="1"/>
    <col min="8713" max="8959" width="8.85546875" style="641"/>
    <col min="8960" max="8960" width="3.140625" style="641" customWidth="1"/>
    <col min="8961" max="8961" width="12.85546875" style="641" customWidth="1"/>
    <col min="8962" max="8962" width="20.28515625" style="641" customWidth="1"/>
    <col min="8963" max="8963" width="43.42578125" style="641" customWidth="1"/>
    <col min="8964" max="8964" width="15" style="641" customWidth="1"/>
    <col min="8965" max="8965" width="14.7109375" style="641" customWidth="1"/>
    <col min="8966" max="8966" width="15.85546875" style="641" customWidth="1"/>
    <col min="8967" max="8967" width="18.42578125" style="641" customWidth="1"/>
    <col min="8968" max="8968" width="16.140625" style="641" customWidth="1"/>
    <col min="8969" max="9215" width="8.85546875" style="641"/>
    <col min="9216" max="9216" width="3.140625" style="641" customWidth="1"/>
    <col min="9217" max="9217" width="12.85546875" style="641" customWidth="1"/>
    <col min="9218" max="9218" width="20.28515625" style="641" customWidth="1"/>
    <col min="9219" max="9219" width="43.42578125" style="641" customWidth="1"/>
    <col min="9220" max="9220" width="15" style="641" customWidth="1"/>
    <col min="9221" max="9221" width="14.7109375" style="641" customWidth="1"/>
    <col min="9222" max="9222" width="15.85546875" style="641" customWidth="1"/>
    <col min="9223" max="9223" width="18.42578125" style="641" customWidth="1"/>
    <col min="9224" max="9224" width="16.140625" style="641" customWidth="1"/>
    <col min="9225" max="9471" width="8.85546875" style="641"/>
    <col min="9472" max="9472" width="3.140625" style="641" customWidth="1"/>
    <col min="9473" max="9473" width="12.85546875" style="641" customWidth="1"/>
    <col min="9474" max="9474" width="20.28515625" style="641" customWidth="1"/>
    <col min="9475" max="9475" width="43.42578125" style="641" customWidth="1"/>
    <col min="9476" max="9476" width="15" style="641" customWidth="1"/>
    <col min="9477" max="9477" width="14.7109375" style="641" customWidth="1"/>
    <col min="9478" max="9478" width="15.85546875" style="641" customWidth="1"/>
    <col min="9479" max="9479" width="18.42578125" style="641" customWidth="1"/>
    <col min="9480" max="9480" width="16.140625" style="641" customWidth="1"/>
    <col min="9481" max="9727" width="8.85546875" style="641"/>
    <col min="9728" max="9728" width="3.140625" style="641" customWidth="1"/>
    <col min="9729" max="9729" width="12.85546875" style="641" customWidth="1"/>
    <col min="9730" max="9730" width="20.28515625" style="641" customWidth="1"/>
    <col min="9731" max="9731" width="43.42578125" style="641" customWidth="1"/>
    <col min="9732" max="9732" width="15" style="641" customWidth="1"/>
    <col min="9733" max="9733" width="14.7109375" style="641" customWidth="1"/>
    <col min="9734" max="9734" width="15.85546875" style="641" customWidth="1"/>
    <col min="9735" max="9735" width="18.42578125" style="641" customWidth="1"/>
    <col min="9736" max="9736" width="16.140625" style="641" customWidth="1"/>
    <col min="9737" max="9983" width="8.85546875" style="641"/>
    <col min="9984" max="9984" width="3.140625" style="641" customWidth="1"/>
    <col min="9985" max="9985" width="12.85546875" style="641" customWidth="1"/>
    <col min="9986" max="9986" width="20.28515625" style="641" customWidth="1"/>
    <col min="9987" max="9987" width="43.42578125" style="641" customWidth="1"/>
    <col min="9988" max="9988" width="15" style="641" customWidth="1"/>
    <col min="9989" max="9989" width="14.7109375" style="641" customWidth="1"/>
    <col min="9990" max="9990" width="15.85546875" style="641" customWidth="1"/>
    <col min="9991" max="9991" width="18.42578125" style="641" customWidth="1"/>
    <col min="9992" max="9992" width="16.140625" style="641" customWidth="1"/>
    <col min="9993" max="10239" width="8.85546875" style="641"/>
    <col min="10240" max="10240" width="3.140625" style="641" customWidth="1"/>
    <col min="10241" max="10241" width="12.85546875" style="641" customWidth="1"/>
    <col min="10242" max="10242" width="20.28515625" style="641" customWidth="1"/>
    <col min="10243" max="10243" width="43.42578125" style="641" customWidth="1"/>
    <col min="10244" max="10244" width="15" style="641" customWidth="1"/>
    <col min="10245" max="10245" width="14.7109375" style="641" customWidth="1"/>
    <col min="10246" max="10246" width="15.85546875" style="641" customWidth="1"/>
    <col min="10247" max="10247" width="18.42578125" style="641" customWidth="1"/>
    <col min="10248" max="10248" width="16.140625" style="641" customWidth="1"/>
    <col min="10249" max="10495" width="8.85546875" style="641"/>
    <col min="10496" max="10496" width="3.140625" style="641" customWidth="1"/>
    <col min="10497" max="10497" width="12.85546875" style="641" customWidth="1"/>
    <col min="10498" max="10498" width="20.28515625" style="641" customWidth="1"/>
    <col min="10499" max="10499" width="43.42578125" style="641" customWidth="1"/>
    <col min="10500" max="10500" width="15" style="641" customWidth="1"/>
    <col min="10501" max="10501" width="14.7109375" style="641" customWidth="1"/>
    <col min="10502" max="10502" width="15.85546875" style="641" customWidth="1"/>
    <col min="10503" max="10503" width="18.42578125" style="641" customWidth="1"/>
    <col min="10504" max="10504" width="16.140625" style="641" customWidth="1"/>
    <col min="10505" max="10751" width="8.85546875" style="641"/>
    <col min="10752" max="10752" width="3.140625" style="641" customWidth="1"/>
    <col min="10753" max="10753" width="12.85546875" style="641" customWidth="1"/>
    <col min="10754" max="10754" width="20.28515625" style="641" customWidth="1"/>
    <col min="10755" max="10755" width="43.42578125" style="641" customWidth="1"/>
    <col min="10756" max="10756" width="15" style="641" customWidth="1"/>
    <col min="10757" max="10757" width="14.7109375" style="641" customWidth="1"/>
    <col min="10758" max="10758" width="15.85546875" style="641" customWidth="1"/>
    <col min="10759" max="10759" width="18.42578125" style="641" customWidth="1"/>
    <col min="10760" max="10760" width="16.140625" style="641" customWidth="1"/>
    <col min="10761" max="11007" width="8.85546875" style="641"/>
    <col min="11008" max="11008" width="3.140625" style="641" customWidth="1"/>
    <col min="11009" max="11009" width="12.85546875" style="641" customWidth="1"/>
    <col min="11010" max="11010" width="20.28515625" style="641" customWidth="1"/>
    <col min="11011" max="11011" width="43.42578125" style="641" customWidth="1"/>
    <col min="11012" max="11012" width="15" style="641" customWidth="1"/>
    <col min="11013" max="11013" width="14.7109375" style="641" customWidth="1"/>
    <col min="11014" max="11014" width="15.85546875" style="641" customWidth="1"/>
    <col min="11015" max="11015" width="18.42578125" style="641" customWidth="1"/>
    <col min="11016" max="11016" width="16.140625" style="641" customWidth="1"/>
    <col min="11017" max="11263" width="8.85546875" style="641"/>
    <col min="11264" max="11264" width="3.140625" style="641" customWidth="1"/>
    <col min="11265" max="11265" width="12.85546875" style="641" customWidth="1"/>
    <col min="11266" max="11266" width="20.28515625" style="641" customWidth="1"/>
    <col min="11267" max="11267" width="43.42578125" style="641" customWidth="1"/>
    <col min="11268" max="11268" width="15" style="641" customWidth="1"/>
    <col min="11269" max="11269" width="14.7109375" style="641" customWidth="1"/>
    <col min="11270" max="11270" width="15.85546875" style="641" customWidth="1"/>
    <col min="11271" max="11271" width="18.42578125" style="641" customWidth="1"/>
    <col min="11272" max="11272" width="16.140625" style="641" customWidth="1"/>
    <col min="11273" max="11519" width="8.85546875" style="641"/>
    <col min="11520" max="11520" width="3.140625" style="641" customWidth="1"/>
    <col min="11521" max="11521" width="12.85546875" style="641" customWidth="1"/>
    <col min="11522" max="11522" width="20.28515625" style="641" customWidth="1"/>
    <col min="11523" max="11523" width="43.42578125" style="641" customWidth="1"/>
    <col min="11524" max="11524" width="15" style="641" customWidth="1"/>
    <col min="11525" max="11525" width="14.7109375" style="641" customWidth="1"/>
    <col min="11526" max="11526" width="15.85546875" style="641" customWidth="1"/>
    <col min="11527" max="11527" width="18.42578125" style="641" customWidth="1"/>
    <col min="11528" max="11528" width="16.140625" style="641" customWidth="1"/>
    <col min="11529" max="11775" width="8.85546875" style="641"/>
    <col min="11776" max="11776" width="3.140625" style="641" customWidth="1"/>
    <col min="11777" max="11777" width="12.85546875" style="641" customWidth="1"/>
    <col min="11778" max="11778" width="20.28515625" style="641" customWidth="1"/>
    <col min="11779" max="11779" width="43.42578125" style="641" customWidth="1"/>
    <col min="11780" max="11780" width="15" style="641" customWidth="1"/>
    <col min="11781" max="11781" width="14.7109375" style="641" customWidth="1"/>
    <col min="11782" max="11782" width="15.85546875" style="641" customWidth="1"/>
    <col min="11783" max="11783" width="18.42578125" style="641" customWidth="1"/>
    <col min="11784" max="11784" width="16.140625" style="641" customWidth="1"/>
    <col min="11785" max="12031" width="8.85546875" style="641"/>
    <col min="12032" max="12032" width="3.140625" style="641" customWidth="1"/>
    <col min="12033" max="12033" width="12.85546875" style="641" customWidth="1"/>
    <col min="12034" max="12034" width="20.28515625" style="641" customWidth="1"/>
    <col min="12035" max="12035" width="43.42578125" style="641" customWidth="1"/>
    <col min="12036" max="12036" width="15" style="641" customWidth="1"/>
    <col min="12037" max="12037" width="14.7109375" style="641" customWidth="1"/>
    <col min="12038" max="12038" width="15.85546875" style="641" customWidth="1"/>
    <col min="12039" max="12039" width="18.42578125" style="641" customWidth="1"/>
    <col min="12040" max="12040" width="16.140625" style="641" customWidth="1"/>
    <col min="12041" max="12287" width="8.85546875" style="641"/>
    <col min="12288" max="12288" width="3.140625" style="641" customWidth="1"/>
    <col min="12289" max="12289" width="12.85546875" style="641" customWidth="1"/>
    <col min="12290" max="12290" width="20.28515625" style="641" customWidth="1"/>
    <col min="12291" max="12291" width="43.42578125" style="641" customWidth="1"/>
    <col min="12292" max="12292" width="15" style="641" customWidth="1"/>
    <col min="12293" max="12293" width="14.7109375" style="641" customWidth="1"/>
    <col min="12294" max="12294" width="15.85546875" style="641" customWidth="1"/>
    <col min="12295" max="12295" width="18.42578125" style="641" customWidth="1"/>
    <col min="12296" max="12296" width="16.140625" style="641" customWidth="1"/>
    <col min="12297" max="12543" width="8.85546875" style="641"/>
    <col min="12544" max="12544" width="3.140625" style="641" customWidth="1"/>
    <col min="12545" max="12545" width="12.85546875" style="641" customWidth="1"/>
    <col min="12546" max="12546" width="20.28515625" style="641" customWidth="1"/>
    <col min="12547" max="12547" width="43.42578125" style="641" customWidth="1"/>
    <col min="12548" max="12548" width="15" style="641" customWidth="1"/>
    <col min="12549" max="12549" width="14.7109375" style="641" customWidth="1"/>
    <col min="12550" max="12550" width="15.85546875" style="641" customWidth="1"/>
    <col min="12551" max="12551" width="18.42578125" style="641" customWidth="1"/>
    <col min="12552" max="12552" width="16.140625" style="641" customWidth="1"/>
    <col min="12553" max="12799" width="8.85546875" style="641"/>
    <col min="12800" max="12800" width="3.140625" style="641" customWidth="1"/>
    <col min="12801" max="12801" width="12.85546875" style="641" customWidth="1"/>
    <col min="12802" max="12802" width="20.28515625" style="641" customWidth="1"/>
    <col min="12803" max="12803" width="43.42578125" style="641" customWidth="1"/>
    <col min="12804" max="12804" width="15" style="641" customWidth="1"/>
    <col min="12805" max="12805" width="14.7109375" style="641" customWidth="1"/>
    <col min="12806" max="12806" width="15.85546875" style="641" customWidth="1"/>
    <col min="12807" max="12807" width="18.42578125" style="641" customWidth="1"/>
    <col min="12808" max="12808" width="16.140625" style="641" customWidth="1"/>
    <col min="12809" max="13055" width="8.85546875" style="641"/>
    <col min="13056" max="13056" width="3.140625" style="641" customWidth="1"/>
    <col min="13057" max="13057" width="12.85546875" style="641" customWidth="1"/>
    <col min="13058" max="13058" width="20.28515625" style="641" customWidth="1"/>
    <col min="13059" max="13059" width="43.42578125" style="641" customWidth="1"/>
    <col min="13060" max="13060" width="15" style="641" customWidth="1"/>
    <col min="13061" max="13061" width="14.7109375" style="641" customWidth="1"/>
    <col min="13062" max="13062" width="15.85546875" style="641" customWidth="1"/>
    <col min="13063" max="13063" width="18.42578125" style="641" customWidth="1"/>
    <col min="13064" max="13064" width="16.140625" style="641" customWidth="1"/>
    <col min="13065" max="13311" width="8.85546875" style="641"/>
    <col min="13312" max="13312" width="3.140625" style="641" customWidth="1"/>
    <col min="13313" max="13313" width="12.85546875" style="641" customWidth="1"/>
    <col min="13314" max="13314" width="20.28515625" style="641" customWidth="1"/>
    <col min="13315" max="13315" width="43.42578125" style="641" customWidth="1"/>
    <col min="13316" max="13316" width="15" style="641" customWidth="1"/>
    <col min="13317" max="13317" width="14.7109375" style="641" customWidth="1"/>
    <col min="13318" max="13318" width="15.85546875" style="641" customWidth="1"/>
    <col min="13319" max="13319" width="18.42578125" style="641" customWidth="1"/>
    <col min="13320" max="13320" width="16.140625" style="641" customWidth="1"/>
    <col min="13321" max="13567" width="8.85546875" style="641"/>
    <col min="13568" max="13568" width="3.140625" style="641" customWidth="1"/>
    <col min="13569" max="13569" width="12.85546875" style="641" customWidth="1"/>
    <col min="13570" max="13570" width="20.28515625" style="641" customWidth="1"/>
    <col min="13571" max="13571" width="43.42578125" style="641" customWidth="1"/>
    <col min="13572" max="13572" width="15" style="641" customWidth="1"/>
    <col min="13573" max="13573" width="14.7109375" style="641" customWidth="1"/>
    <col min="13574" max="13574" width="15.85546875" style="641" customWidth="1"/>
    <col min="13575" max="13575" width="18.42578125" style="641" customWidth="1"/>
    <col min="13576" max="13576" width="16.140625" style="641" customWidth="1"/>
    <col min="13577" max="13823" width="8.85546875" style="641"/>
    <col min="13824" max="13824" width="3.140625" style="641" customWidth="1"/>
    <col min="13825" max="13825" width="12.85546875" style="641" customWidth="1"/>
    <col min="13826" max="13826" width="20.28515625" style="641" customWidth="1"/>
    <col min="13827" max="13827" width="43.42578125" style="641" customWidth="1"/>
    <col min="13828" max="13828" width="15" style="641" customWidth="1"/>
    <col min="13829" max="13829" width="14.7109375" style="641" customWidth="1"/>
    <col min="13830" max="13830" width="15.85546875" style="641" customWidth="1"/>
    <col min="13831" max="13831" width="18.42578125" style="641" customWidth="1"/>
    <col min="13832" max="13832" width="16.140625" style="641" customWidth="1"/>
    <col min="13833" max="14079" width="8.85546875" style="641"/>
    <col min="14080" max="14080" width="3.140625" style="641" customWidth="1"/>
    <col min="14081" max="14081" width="12.85546875" style="641" customWidth="1"/>
    <col min="14082" max="14082" width="20.28515625" style="641" customWidth="1"/>
    <col min="14083" max="14083" width="43.42578125" style="641" customWidth="1"/>
    <col min="14084" max="14084" width="15" style="641" customWidth="1"/>
    <col min="14085" max="14085" width="14.7109375" style="641" customWidth="1"/>
    <col min="14086" max="14086" width="15.85546875" style="641" customWidth="1"/>
    <col min="14087" max="14087" width="18.42578125" style="641" customWidth="1"/>
    <col min="14088" max="14088" width="16.140625" style="641" customWidth="1"/>
    <col min="14089" max="14335" width="8.85546875" style="641"/>
    <col min="14336" max="14336" width="3.140625" style="641" customWidth="1"/>
    <col min="14337" max="14337" width="12.85546875" style="641" customWidth="1"/>
    <col min="14338" max="14338" width="20.28515625" style="641" customWidth="1"/>
    <col min="14339" max="14339" width="43.42578125" style="641" customWidth="1"/>
    <col min="14340" max="14340" width="15" style="641" customWidth="1"/>
    <col min="14341" max="14341" width="14.7109375" style="641" customWidth="1"/>
    <col min="14342" max="14342" width="15.85546875" style="641" customWidth="1"/>
    <col min="14343" max="14343" width="18.42578125" style="641" customWidth="1"/>
    <col min="14344" max="14344" width="16.140625" style="641" customWidth="1"/>
    <col min="14345" max="14591" width="8.85546875" style="641"/>
    <col min="14592" max="14592" width="3.140625" style="641" customWidth="1"/>
    <col min="14593" max="14593" width="12.85546875" style="641" customWidth="1"/>
    <col min="14594" max="14594" width="20.28515625" style="641" customWidth="1"/>
    <col min="14595" max="14595" width="43.42578125" style="641" customWidth="1"/>
    <col min="14596" max="14596" width="15" style="641" customWidth="1"/>
    <col min="14597" max="14597" width="14.7109375" style="641" customWidth="1"/>
    <col min="14598" max="14598" width="15.85546875" style="641" customWidth="1"/>
    <col min="14599" max="14599" width="18.42578125" style="641" customWidth="1"/>
    <col min="14600" max="14600" width="16.140625" style="641" customWidth="1"/>
    <col min="14601" max="14847" width="8.85546875" style="641"/>
    <col min="14848" max="14848" width="3.140625" style="641" customWidth="1"/>
    <col min="14849" max="14849" width="12.85546875" style="641" customWidth="1"/>
    <col min="14850" max="14850" width="20.28515625" style="641" customWidth="1"/>
    <col min="14851" max="14851" width="43.42578125" style="641" customWidth="1"/>
    <col min="14852" max="14852" width="15" style="641" customWidth="1"/>
    <col min="14853" max="14853" width="14.7109375" style="641" customWidth="1"/>
    <col min="14854" max="14854" width="15.85546875" style="641" customWidth="1"/>
    <col min="14855" max="14855" width="18.42578125" style="641" customWidth="1"/>
    <col min="14856" max="14856" width="16.140625" style="641" customWidth="1"/>
    <col min="14857" max="15103" width="8.85546875" style="641"/>
    <col min="15104" max="15104" width="3.140625" style="641" customWidth="1"/>
    <col min="15105" max="15105" width="12.85546875" style="641" customWidth="1"/>
    <col min="15106" max="15106" width="20.28515625" style="641" customWidth="1"/>
    <col min="15107" max="15107" width="43.42578125" style="641" customWidth="1"/>
    <col min="15108" max="15108" width="15" style="641" customWidth="1"/>
    <col min="15109" max="15109" width="14.7109375" style="641" customWidth="1"/>
    <col min="15110" max="15110" width="15.85546875" style="641" customWidth="1"/>
    <col min="15111" max="15111" width="18.42578125" style="641" customWidth="1"/>
    <col min="15112" max="15112" width="16.140625" style="641" customWidth="1"/>
    <col min="15113" max="15359" width="8.85546875" style="641"/>
    <col min="15360" max="15360" width="3.140625" style="641" customWidth="1"/>
    <col min="15361" max="15361" width="12.85546875" style="641" customWidth="1"/>
    <col min="15362" max="15362" width="20.28515625" style="641" customWidth="1"/>
    <col min="15363" max="15363" width="43.42578125" style="641" customWidth="1"/>
    <col min="15364" max="15364" width="15" style="641" customWidth="1"/>
    <col min="15365" max="15365" width="14.7109375" style="641" customWidth="1"/>
    <col min="15366" max="15366" width="15.85546875" style="641" customWidth="1"/>
    <col min="15367" max="15367" width="18.42578125" style="641" customWidth="1"/>
    <col min="15368" max="15368" width="16.140625" style="641" customWidth="1"/>
    <col min="15369" max="15615" width="8.85546875" style="641"/>
    <col min="15616" max="15616" width="3.140625" style="641" customWidth="1"/>
    <col min="15617" max="15617" width="12.85546875" style="641" customWidth="1"/>
    <col min="15618" max="15618" width="20.28515625" style="641" customWidth="1"/>
    <col min="15619" max="15619" width="43.42578125" style="641" customWidth="1"/>
    <col min="15620" max="15620" width="15" style="641" customWidth="1"/>
    <col min="15621" max="15621" width="14.7109375" style="641" customWidth="1"/>
    <col min="15622" max="15622" width="15.85546875" style="641" customWidth="1"/>
    <col min="15623" max="15623" width="18.42578125" style="641" customWidth="1"/>
    <col min="15624" max="15624" width="16.140625" style="641" customWidth="1"/>
    <col min="15625" max="15871" width="8.85546875" style="641"/>
    <col min="15872" max="15872" width="3.140625" style="641" customWidth="1"/>
    <col min="15873" max="15873" width="12.85546875" style="641" customWidth="1"/>
    <col min="15874" max="15874" width="20.28515625" style="641" customWidth="1"/>
    <col min="15875" max="15875" width="43.42578125" style="641" customWidth="1"/>
    <col min="15876" max="15876" width="15" style="641" customWidth="1"/>
    <col min="15877" max="15877" width="14.7109375" style="641" customWidth="1"/>
    <col min="15878" max="15878" width="15.85546875" style="641" customWidth="1"/>
    <col min="15879" max="15879" width="18.42578125" style="641" customWidth="1"/>
    <col min="15880" max="15880" width="16.140625" style="641" customWidth="1"/>
    <col min="15881" max="16127" width="8.85546875" style="641"/>
    <col min="16128" max="16128" width="3.140625" style="641" customWidth="1"/>
    <col min="16129" max="16129" width="12.85546875" style="641" customWidth="1"/>
    <col min="16130" max="16130" width="20.28515625" style="641" customWidth="1"/>
    <col min="16131" max="16131" width="43.42578125" style="641" customWidth="1"/>
    <col min="16132" max="16132" width="15" style="641" customWidth="1"/>
    <col min="16133" max="16133" width="14.7109375" style="641" customWidth="1"/>
    <col min="16134" max="16134" width="15.85546875" style="641" customWidth="1"/>
    <col min="16135" max="16135" width="18.42578125" style="641" customWidth="1"/>
    <col min="16136" max="16136" width="16.140625" style="641" customWidth="1"/>
    <col min="16137" max="16384" width="8.85546875" style="641"/>
  </cols>
  <sheetData>
    <row r="1" spans="2:22" ht="6.75" customHeight="1" thickBot="1"/>
    <row r="2" spans="2:22" ht="9" customHeight="1">
      <c r="B2" s="953" t="s">
        <v>597</v>
      </c>
      <c r="C2" s="954"/>
      <c r="D2" s="954"/>
      <c r="E2" s="954"/>
      <c r="F2" s="954"/>
      <c r="G2" s="954"/>
      <c r="H2" s="954"/>
      <c r="I2" s="954"/>
      <c r="J2" s="954"/>
      <c r="K2" s="954"/>
      <c r="L2" s="954"/>
      <c r="M2" s="954"/>
      <c r="N2" s="954"/>
      <c r="O2" s="954"/>
      <c r="P2" s="954"/>
      <c r="Q2" s="954"/>
      <c r="R2" s="954"/>
      <c r="S2" s="954"/>
      <c r="T2" s="954"/>
      <c r="U2" s="954"/>
      <c r="V2" s="955"/>
    </row>
    <row r="3" spans="2:22" ht="9" customHeight="1">
      <c r="B3" s="956"/>
      <c r="C3" s="957"/>
      <c r="D3" s="957"/>
      <c r="E3" s="957"/>
      <c r="F3" s="957"/>
      <c r="G3" s="957"/>
      <c r="H3" s="957"/>
      <c r="I3" s="957"/>
      <c r="J3" s="957"/>
      <c r="K3" s="957"/>
      <c r="L3" s="957"/>
      <c r="M3" s="957"/>
      <c r="N3" s="957"/>
      <c r="O3" s="957"/>
      <c r="P3" s="957"/>
      <c r="Q3" s="957"/>
      <c r="R3" s="957"/>
      <c r="S3" s="957"/>
      <c r="T3" s="957"/>
      <c r="U3" s="957"/>
      <c r="V3" s="958"/>
    </row>
    <row r="4" spans="2:22" ht="9" customHeight="1">
      <c r="B4" s="956"/>
      <c r="C4" s="957"/>
      <c r="D4" s="957"/>
      <c r="E4" s="957"/>
      <c r="F4" s="957"/>
      <c r="G4" s="957"/>
      <c r="H4" s="957"/>
      <c r="I4" s="957"/>
      <c r="J4" s="957"/>
      <c r="K4" s="957"/>
      <c r="L4" s="957"/>
      <c r="M4" s="957"/>
      <c r="N4" s="957"/>
      <c r="O4" s="957"/>
      <c r="P4" s="957"/>
      <c r="Q4" s="957"/>
      <c r="R4" s="957"/>
      <c r="S4" s="957"/>
      <c r="T4" s="957"/>
      <c r="U4" s="957"/>
      <c r="V4" s="958"/>
    </row>
    <row r="5" spans="2:22" ht="9" customHeight="1" thickBot="1">
      <c r="B5" s="959"/>
      <c r="C5" s="960"/>
      <c r="D5" s="960"/>
      <c r="E5" s="960"/>
      <c r="F5" s="960"/>
      <c r="G5" s="960"/>
      <c r="H5" s="960"/>
      <c r="I5" s="960"/>
      <c r="J5" s="960"/>
      <c r="K5" s="960"/>
      <c r="L5" s="960"/>
      <c r="M5" s="960"/>
      <c r="N5" s="960"/>
      <c r="O5" s="960"/>
      <c r="P5" s="960"/>
      <c r="Q5" s="960"/>
      <c r="R5" s="960"/>
      <c r="S5" s="960"/>
      <c r="T5" s="960"/>
      <c r="U5" s="960"/>
      <c r="V5" s="961"/>
    </row>
    <row r="6" spans="2:22" ht="9" customHeight="1" thickBot="1"/>
    <row r="7" spans="2:22" ht="19.5" thickBot="1">
      <c r="B7" s="1001" t="s">
        <v>586</v>
      </c>
      <c r="C7" s="1002"/>
      <c r="D7" s="1002"/>
      <c r="E7" s="1002"/>
      <c r="F7" s="1002"/>
      <c r="G7" s="1002"/>
      <c r="H7" s="1003"/>
      <c r="I7" s="1004"/>
      <c r="K7" s="1005" t="s">
        <v>587</v>
      </c>
      <c r="L7" s="1006"/>
      <c r="M7" s="1006"/>
      <c r="N7" s="1006"/>
      <c r="O7" s="1006"/>
      <c r="P7" s="1007"/>
    </row>
    <row r="8" spans="2:22" ht="13.5" thickBot="1"/>
    <row r="9" spans="2:22" ht="25.5" customHeight="1" thickBot="1">
      <c r="B9" s="1010" t="s">
        <v>588</v>
      </c>
      <c r="C9" s="1011"/>
      <c r="D9" s="1008" t="s">
        <v>589</v>
      </c>
      <c r="E9" s="1009"/>
      <c r="F9" s="720" t="s">
        <v>590</v>
      </c>
      <c r="G9" s="721" t="s">
        <v>591</v>
      </c>
      <c r="H9" s="746" t="s">
        <v>1</v>
      </c>
      <c r="I9" s="722" t="s">
        <v>449</v>
      </c>
      <c r="K9" s="1010" t="s">
        <v>588</v>
      </c>
      <c r="L9" s="1011"/>
      <c r="M9" s="1016" t="s">
        <v>589</v>
      </c>
      <c r="N9" s="1017"/>
      <c r="O9" s="720" t="s">
        <v>592</v>
      </c>
      <c r="P9" s="722" t="s">
        <v>593</v>
      </c>
    </row>
    <row r="10" spans="2:22" ht="12.75" customHeight="1">
      <c r="B10" s="1012"/>
      <c r="C10" s="1013"/>
      <c r="D10" s="723" t="s">
        <v>13</v>
      </c>
      <c r="E10" s="821">
        <v>0.15</v>
      </c>
      <c r="F10" s="1071">
        <v>19998075.398090933</v>
      </c>
      <c r="G10" s="1034">
        <v>6.2674521931979754E-2</v>
      </c>
      <c r="H10" s="1031">
        <v>1.0313241230000001</v>
      </c>
      <c r="I10" s="1037">
        <v>1.0594237301467766</v>
      </c>
      <c r="K10" s="1012"/>
      <c r="L10" s="1013"/>
      <c r="M10" s="1040" t="s">
        <v>60</v>
      </c>
      <c r="N10" s="1018">
        <v>0.15</v>
      </c>
      <c r="O10" s="1021">
        <v>269772634.99502164</v>
      </c>
      <c r="P10" s="1024">
        <v>0.16376316661798462</v>
      </c>
    </row>
    <row r="11" spans="2:22" ht="12.75" customHeight="1">
      <c r="B11" s="1012"/>
      <c r="C11" s="1013"/>
      <c r="D11" s="724" t="s">
        <v>448</v>
      </c>
      <c r="E11" s="725">
        <v>-0.15</v>
      </c>
      <c r="F11" s="1072"/>
      <c r="G11" s="1035"/>
      <c r="H11" s="1032"/>
      <c r="I11" s="1038"/>
      <c r="K11" s="1012"/>
      <c r="L11" s="1013"/>
      <c r="M11" s="1027"/>
      <c r="N11" s="1019"/>
      <c r="O11" s="1022"/>
      <c r="P11" s="1025"/>
    </row>
    <row r="12" spans="2:22" ht="12.75" customHeight="1">
      <c r="B12" s="1012"/>
      <c r="C12" s="1013"/>
      <c r="D12" s="747" t="s">
        <v>256</v>
      </c>
      <c r="E12" s="725">
        <v>-0.15</v>
      </c>
      <c r="F12" s="1072"/>
      <c r="G12" s="1035"/>
      <c r="H12" s="1032"/>
      <c r="I12" s="1038"/>
      <c r="K12" s="1012"/>
      <c r="L12" s="1013"/>
      <c r="M12" s="1027"/>
      <c r="N12" s="1020"/>
      <c r="O12" s="1022"/>
      <c r="P12" s="1025"/>
    </row>
    <row r="13" spans="2:22" ht="12.75" customHeight="1">
      <c r="B13" s="1012"/>
      <c r="C13" s="1013"/>
      <c r="D13" s="747" t="s">
        <v>470</v>
      </c>
      <c r="E13" s="725">
        <v>-0.15</v>
      </c>
      <c r="F13" s="1072"/>
      <c r="G13" s="1035"/>
      <c r="H13" s="1032"/>
      <c r="I13" s="1038"/>
      <c r="K13" s="1012"/>
      <c r="L13" s="1013"/>
      <c r="M13" s="1027" t="s">
        <v>59</v>
      </c>
      <c r="N13" s="1028">
        <v>-0.15</v>
      </c>
      <c r="O13" s="1022"/>
      <c r="P13" s="1025"/>
    </row>
    <row r="14" spans="2:22" ht="12.75" customHeight="1" thickBot="1">
      <c r="B14" s="1014"/>
      <c r="C14" s="1015"/>
      <c r="D14" s="726" t="s">
        <v>15</v>
      </c>
      <c r="E14" s="727">
        <v>0.15</v>
      </c>
      <c r="F14" s="1073"/>
      <c r="G14" s="1036"/>
      <c r="H14" s="1033"/>
      <c r="I14" s="1039"/>
      <c r="K14" s="1012"/>
      <c r="L14" s="1013"/>
      <c r="M14" s="1027"/>
      <c r="N14" s="1020"/>
      <c r="O14" s="1022"/>
      <c r="P14" s="1025"/>
    </row>
    <row r="15" spans="2:22" ht="12.75" customHeight="1" thickBot="1">
      <c r="B15" s="729"/>
      <c r="C15" s="729"/>
      <c r="E15" s="730"/>
      <c r="F15" s="714"/>
      <c r="G15" s="731"/>
      <c r="H15" s="731"/>
      <c r="I15" s="732"/>
      <c r="K15" s="1012"/>
      <c r="L15" s="1013"/>
      <c r="M15" s="1027" t="s">
        <v>222</v>
      </c>
      <c r="N15" s="1028">
        <v>-0.15</v>
      </c>
      <c r="O15" s="1022"/>
      <c r="P15" s="1025"/>
    </row>
    <row r="16" spans="2:22" ht="12.95" customHeight="1" thickBot="1">
      <c r="B16" s="1041" t="s">
        <v>594</v>
      </c>
      <c r="C16" s="1042"/>
      <c r="D16" s="1008" t="s">
        <v>589</v>
      </c>
      <c r="E16" s="1009"/>
      <c r="F16" s="720" t="s">
        <v>590</v>
      </c>
      <c r="G16" s="733" t="s">
        <v>591</v>
      </c>
      <c r="H16" s="746" t="s">
        <v>1</v>
      </c>
      <c r="I16" s="722" t="s">
        <v>449</v>
      </c>
      <c r="K16" s="1012"/>
      <c r="L16" s="1013"/>
      <c r="M16" s="1027"/>
      <c r="N16" s="1020"/>
      <c r="O16" s="1022"/>
      <c r="P16" s="1025"/>
    </row>
    <row r="17" spans="2:16" ht="12.75" customHeight="1">
      <c r="B17" s="1043"/>
      <c r="C17" s="1044"/>
      <c r="D17" s="723" t="s">
        <v>13</v>
      </c>
      <c r="E17" s="728">
        <v>0</v>
      </c>
      <c r="F17" s="1059">
        <f>'09 Ekonomická analýza - nákup'!C12</f>
        <v>115052278.73656352</v>
      </c>
      <c r="G17" s="1053">
        <f>'09 Ekonomická analýza - nákup'!C13</f>
        <v>0.25465598359280639</v>
      </c>
      <c r="H17" s="1056">
        <f>'09 Ekonomická analýza - nákup'!C14</f>
        <v>1.217671875941484</v>
      </c>
      <c r="I17" s="1047">
        <f>'09 Ekonomická analýza - nákup'!C15</f>
        <v>1.3931558783814699</v>
      </c>
      <c r="K17" s="1012"/>
      <c r="L17" s="1013"/>
      <c r="M17" s="1027" t="s">
        <v>15</v>
      </c>
      <c r="N17" s="1028">
        <v>0.15</v>
      </c>
      <c r="O17" s="1022"/>
      <c r="P17" s="1025"/>
    </row>
    <row r="18" spans="2:16" ht="13.5" customHeight="1" thickBot="1">
      <c r="B18" s="1043"/>
      <c r="C18" s="1044"/>
      <c r="D18" s="724" t="s">
        <v>448</v>
      </c>
      <c r="E18" s="725">
        <v>0</v>
      </c>
      <c r="F18" s="1060"/>
      <c r="G18" s="1054"/>
      <c r="H18" s="1057"/>
      <c r="I18" s="1048"/>
      <c r="K18" s="1014"/>
      <c r="L18" s="1015"/>
      <c r="M18" s="1030"/>
      <c r="N18" s="1029"/>
      <c r="O18" s="1023"/>
      <c r="P18" s="1026"/>
    </row>
    <row r="19" spans="2:16" ht="12" customHeight="1" thickBot="1">
      <c r="B19" s="1043"/>
      <c r="C19" s="1044"/>
      <c r="D19" s="747" t="s">
        <v>256</v>
      </c>
      <c r="E19" s="725">
        <v>0</v>
      </c>
      <c r="F19" s="1060"/>
      <c r="G19" s="1054"/>
      <c r="H19" s="1057"/>
      <c r="I19" s="1048"/>
    </row>
    <row r="20" spans="2:16" ht="15" customHeight="1" thickBot="1">
      <c r="B20" s="1043"/>
      <c r="C20" s="1044"/>
      <c r="D20" s="747" t="s">
        <v>470</v>
      </c>
      <c r="E20" s="725">
        <v>0</v>
      </c>
      <c r="F20" s="1060"/>
      <c r="G20" s="1054"/>
      <c r="H20" s="1057"/>
      <c r="I20" s="1048"/>
      <c r="K20" s="1041" t="s">
        <v>596</v>
      </c>
      <c r="L20" s="1042"/>
      <c r="M20" s="1016" t="s">
        <v>589</v>
      </c>
      <c r="N20" s="1017"/>
      <c r="O20" s="720" t="s">
        <v>592</v>
      </c>
      <c r="P20" s="722" t="s">
        <v>593</v>
      </c>
    </row>
    <row r="21" spans="2:16" ht="12.75" customHeight="1" thickBot="1">
      <c r="B21" s="1045"/>
      <c r="C21" s="1046"/>
      <c r="D21" s="726" t="s">
        <v>15</v>
      </c>
      <c r="E21" s="727">
        <v>0</v>
      </c>
      <c r="F21" s="1061"/>
      <c r="G21" s="1055"/>
      <c r="H21" s="1058"/>
      <c r="I21" s="1049"/>
      <c r="K21" s="1043"/>
      <c r="L21" s="1044"/>
      <c r="M21" s="1050" t="s">
        <v>60</v>
      </c>
      <c r="N21" s="1018">
        <v>0</v>
      </c>
      <c r="O21" s="1059">
        <f>'06 Finančná analýza - nákup'!C11</f>
        <v>419627150.14541209</v>
      </c>
      <c r="P21" s="1062">
        <f>'06 Finančná analýza - nákup'!C12</f>
        <v>0.55728325666490108</v>
      </c>
    </row>
    <row r="22" spans="2:16" ht="12.75" customHeight="1" thickBot="1">
      <c r="B22" s="729"/>
      <c r="C22" s="729"/>
      <c r="E22" s="730"/>
      <c r="F22" s="714"/>
      <c r="G22" s="731"/>
      <c r="H22" s="731"/>
      <c r="I22" s="732"/>
      <c r="K22" s="1043"/>
      <c r="L22" s="1044"/>
      <c r="M22" s="1051"/>
      <c r="N22" s="1019"/>
      <c r="O22" s="1060"/>
      <c r="P22" s="1063"/>
    </row>
    <row r="23" spans="2:16" ht="13.5" customHeight="1" thickBot="1">
      <c r="B23" s="1065" t="s">
        <v>595</v>
      </c>
      <c r="C23" s="1066"/>
      <c r="D23" s="1008" t="s">
        <v>589</v>
      </c>
      <c r="E23" s="1009"/>
      <c r="F23" s="720" t="s">
        <v>590</v>
      </c>
      <c r="G23" s="721" t="s">
        <v>591</v>
      </c>
      <c r="H23" s="746" t="s">
        <v>1</v>
      </c>
      <c r="I23" s="722" t="s">
        <v>449</v>
      </c>
      <c r="K23" s="1043"/>
      <c r="L23" s="1044"/>
      <c r="M23" s="1052"/>
      <c r="N23" s="1020"/>
      <c r="O23" s="1060"/>
      <c r="P23" s="1063"/>
    </row>
    <row r="24" spans="2:16" ht="12.75" customHeight="1">
      <c r="B24" s="1067"/>
      <c r="C24" s="1074"/>
      <c r="D24" s="723" t="s">
        <v>13</v>
      </c>
      <c r="E24" s="821">
        <v>-0.15</v>
      </c>
      <c r="F24" s="1071">
        <v>210106482.07503599</v>
      </c>
      <c r="G24" s="1034">
        <v>4.1302705028836426</v>
      </c>
      <c r="H24" s="1031">
        <v>1.6123177096584862</v>
      </c>
      <c r="I24" s="1037">
        <v>1.8446758436401722</v>
      </c>
      <c r="K24" s="1043"/>
      <c r="L24" s="1044"/>
      <c r="M24" s="1027" t="s">
        <v>59</v>
      </c>
      <c r="N24" s="1028">
        <v>0</v>
      </c>
      <c r="O24" s="1060"/>
      <c r="P24" s="1063"/>
    </row>
    <row r="25" spans="2:16" ht="13.5" customHeight="1">
      <c r="B25" s="1067"/>
      <c r="C25" s="1074"/>
      <c r="D25" s="724" t="s">
        <v>448</v>
      </c>
      <c r="E25" s="725">
        <v>0.15</v>
      </c>
      <c r="F25" s="1072"/>
      <c r="G25" s="1035"/>
      <c r="H25" s="1032"/>
      <c r="I25" s="1038"/>
      <c r="K25" s="1043"/>
      <c r="L25" s="1044"/>
      <c r="M25" s="1027"/>
      <c r="N25" s="1020"/>
      <c r="O25" s="1060"/>
      <c r="P25" s="1063"/>
    </row>
    <row r="26" spans="2:16" ht="12.75" customHeight="1">
      <c r="B26" s="1067"/>
      <c r="C26" s="1074"/>
      <c r="D26" s="747" t="s">
        <v>256</v>
      </c>
      <c r="E26" s="725">
        <v>0.15</v>
      </c>
      <c r="F26" s="1072"/>
      <c r="G26" s="1035"/>
      <c r="H26" s="1032"/>
      <c r="I26" s="1038"/>
      <c r="K26" s="1043"/>
      <c r="L26" s="1044"/>
      <c r="M26" s="1027" t="s">
        <v>222</v>
      </c>
      <c r="N26" s="1028">
        <v>0</v>
      </c>
      <c r="O26" s="1060"/>
      <c r="P26" s="1063"/>
    </row>
    <row r="27" spans="2:16" ht="12.75" customHeight="1">
      <c r="B27" s="1067"/>
      <c r="C27" s="1074"/>
      <c r="D27" s="747" t="s">
        <v>470</v>
      </c>
      <c r="E27" s="725">
        <v>0.15</v>
      </c>
      <c r="F27" s="1072"/>
      <c r="G27" s="1035"/>
      <c r="H27" s="1032"/>
      <c r="I27" s="1038"/>
      <c r="K27" s="1043"/>
      <c r="L27" s="1044"/>
      <c r="M27" s="1027"/>
      <c r="N27" s="1020"/>
      <c r="O27" s="1060"/>
      <c r="P27" s="1063"/>
    </row>
    <row r="28" spans="2:16" ht="12.75" customHeight="1" thickBot="1">
      <c r="B28" s="1069"/>
      <c r="C28" s="1075"/>
      <c r="D28" s="726" t="s">
        <v>15</v>
      </c>
      <c r="E28" s="822">
        <v>-0.15</v>
      </c>
      <c r="F28" s="1073"/>
      <c r="G28" s="1036"/>
      <c r="H28" s="1033"/>
      <c r="I28" s="1039"/>
      <c r="K28" s="1043"/>
      <c r="L28" s="1044"/>
      <c r="M28" s="1027" t="s">
        <v>15</v>
      </c>
      <c r="N28" s="1028">
        <v>0</v>
      </c>
      <c r="O28" s="1060"/>
      <c r="P28" s="1063"/>
    </row>
    <row r="29" spans="2:16" ht="13.5" customHeight="1" thickBot="1">
      <c r="K29" s="1045"/>
      <c r="L29" s="1046"/>
      <c r="M29" s="1030"/>
      <c r="N29" s="1029"/>
      <c r="O29" s="1061"/>
      <c r="P29" s="1064"/>
    </row>
    <row r="30" spans="2:16" ht="7.5" customHeight="1" thickBot="1">
      <c r="B30" s="734"/>
      <c r="C30" s="734"/>
      <c r="F30" s="735"/>
      <c r="G30" s="736"/>
      <c r="H30" s="736"/>
      <c r="I30" s="737"/>
      <c r="K30" s="734"/>
      <c r="L30" s="734"/>
      <c r="O30" s="740"/>
      <c r="P30" s="741"/>
    </row>
    <row r="31" spans="2:16" ht="23.25" customHeight="1" thickBot="1">
      <c r="B31" s="734"/>
      <c r="C31" s="734"/>
      <c r="D31" s="738"/>
      <c r="E31" s="847" t="str">
        <f>F9</f>
        <v xml:space="preserve">ENPV </v>
      </c>
      <c r="F31" s="654" t="str">
        <f>G9</f>
        <v xml:space="preserve">ERR </v>
      </c>
      <c r="G31" s="736"/>
      <c r="H31" s="736"/>
      <c r="I31" s="737"/>
      <c r="K31" s="1065" t="s">
        <v>595</v>
      </c>
      <c r="L31" s="1066"/>
      <c r="M31" s="1016" t="s">
        <v>589</v>
      </c>
      <c r="N31" s="1017"/>
      <c r="O31" s="720" t="s">
        <v>592</v>
      </c>
      <c r="P31" s="722" t="s">
        <v>593</v>
      </c>
    </row>
    <row r="32" spans="2:16" ht="12.75" customHeight="1">
      <c r="D32" s="647" t="str">
        <f>B9</f>
        <v>Pesimistický scenár</v>
      </c>
      <c r="E32" s="848">
        <f>F10</f>
        <v>19998075.398090933</v>
      </c>
      <c r="F32" s="849">
        <f>G10</f>
        <v>6.2674521931979754E-2</v>
      </c>
      <c r="K32" s="1067"/>
      <c r="L32" s="1068"/>
      <c r="M32" s="1040" t="s">
        <v>60</v>
      </c>
      <c r="N32" s="1018">
        <v>-0.15</v>
      </c>
      <c r="O32" s="1021">
        <v>569481665.29580247</v>
      </c>
      <c r="P32" s="1024">
        <v>4.3916066512506395</v>
      </c>
    </row>
    <row r="33" spans="4:17" ht="12.75" customHeight="1">
      <c r="D33" s="647" t="str">
        <f>B16</f>
        <v>Realistický scenár</v>
      </c>
      <c r="E33" s="848">
        <f>F17</f>
        <v>115052278.73656352</v>
      </c>
      <c r="F33" s="849">
        <f>G17</f>
        <v>0.25465598359280639</v>
      </c>
      <c r="K33" s="1067"/>
      <c r="L33" s="1068"/>
      <c r="M33" s="1027"/>
      <c r="N33" s="1019"/>
      <c r="O33" s="1022"/>
      <c r="P33" s="1025"/>
    </row>
    <row r="34" spans="4:17" ht="12.75" customHeight="1">
      <c r="D34" s="647" t="str">
        <f>B23</f>
        <v>Optimistický scenár</v>
      </c>
      <c r="E34" s="848">
        <f>F24</f>
        <v>210106482.07503599</v>
      </c>
      <c r="F34" s="849">
        <f>G24</f>
        <v>4.1302705028836426</v>
      </c>
      <c r="K34" s="1067"/>
      <c r="L34" s="1068"/>
      <c r="M34" s="1027"/>
      <c r="N34" s="1020"/>
      <c r="O34" s="1022"/>
      <c r="P34" s="1025"/>
    </row>
    <row r="35" spans="4:17" ht="12.75" customHeight="1">
      <c r="F35" s="739"/>
      <c r="K35" s="1067"/>
      <c r="L35" s="1068"/>
      <c r="M35" s="1027" t="s">
        <v>59</v>
      </c>
      <c r="N35" s="1028">
        <v>0.15</v>
      </c>
      <c r="O35" s="1022"/>
      <c r="P35" s="1025"/>
    </row>
    <row r="36" spans="4:17" ht="12.75" customHeight="1">
      <c r="K36" s="1067"/>
      <c r="L36" s="1068"/>
      <c r="M36" s="1027"/>
      <c r="N36" s="1020"/>
      <c r="O36" s="1022"/>
      <c r="P36" s="1025"/>
    </row>
    <row r="37" spans="4:17" ht="12.75" customHeight="1">
      <c r="K37" s="1067"/>
      <c r="L37" s="1068"/>
      <c r="M37" s="1027" t="s">
        <v>222</v>
      </c>
      <c r="N37" s="1028">
        <v>0.15</v>
      </c>
      <c r="O37" s="1022"/>
      <c r="P37" s="1025"/>
    </row>
    <row r="38" spans="4:17" ht="12.75" customHeight="1">
      <c r="K38" s="1067"/>
      <c r="L38" s="1068"/>
      <c r="M38" s="1027"/>
      <c r="N38" s="1020"/>
      <c r="O38" s="1022"/>
      <c r="P38" s="1025"/>
    </row>
    <row r="39" spans="4:17" ht="12.75" customHeight="1">
      <c r="K39" s="1067"/>
      <c r="L39" s="1068"/>
      <c r="M39" s="1027" t="s">
        <v>15</v>
      </c>
      <c r="N39" s="1028">
        <v>-0.15</v>
      </c>
      <c r="O39" s="1022"/>
      <c r="P39" s="1025"/>
    </row>
    <row r="40" spans="4:17" ht="13.5" customHeight="1" thickBot="1">
      <c r="K40" s="1069"/>
      <c r="L40" s="1070"/>
      <c r="M40" s="1030"/>
      <c r="N40" s="1029"/>
      <c r="O40" s="1023"/>
      <c r="P40" s="1026"/>
    </row>
    <row r="41" spans="4:17" ht="12.75" customHeight="1">
      <c r="K41" s="734"/>
      <c r="L41" s="734"/>
      <c r="O41" s="740"/>
      <c r="P41" s="741"/>
    </row>
    <row r="42" spans="4:17" ht="15">
      <c r="K42" s="742"/>
      <c r="L42" s="743"/>
      <c r="M42" s="738"/>
      <c r="N42" s="738"/>
      <c r="O42" s="744"/>
      <c r="P42" s="745"/>
      <c r="Q42" s="738"/>
    </row>
    <row r="43" spans="4:17" ht="15">
      <c r="K43" s="742"/>
      <c r="L43" s="743"/>
      <c r="M43" s="738"/>
      <c r="N43" s="847" t="str">
        <f>O9</f>
        <v xml:space="preserve">FNPV_C </v>
      </c>
      <c r="O43" s="847" t="str">
        <f>P9</f>
        <v xml:space="preserve">FRR_C </v>
      </c>
      <c r="P43" s="745"/>
      <c r="Q43" s="738"/>
    </row>
    <row r="44" spans="4:17" ht="12.75" customHeight="1">
      <c r="L44" s="738"/>
      <c r="M44" s="647" t="str">
        <f>K9</f>
        <v>Pesimistický scenár</v>
      </c>
      <c r="N44" s="850">
        <f>O10</f>
        <v>269772634.99502164</v>
      </c>
      <c r="O44" s="851">
        <f>P10</f>
        <v>0.16376316661798462</v>
      </c>
      <c r="P44" s="738"/>
      <c r="Q44" s="738"/>
    </row>
    <row r="45" spans="4:17" ht="13.5" customHeight="1">
      <c r="L45" s="738"/>
      <c r="M45" s="647" t="str">
        <f>K20</f>
        <v xml:space="preserve">Realisticky scenár </v>
      </c>
      <c r="N45" s="850">
        <f>O21</f>
        <v>419627150.14541209</v>
      </c>
      <c r="O45" s="851">
        <f>P21</f>
        <v>0.55728325666490108</v>
      </c>
      <c r="P45" s="738"/>
      <c r="Q45" s="738"/>
    </row>
    <row r="46" spans="4:17" ht="12.75" customHeight="1">
      <c r="L46" s="738"/>
      <c r="M46" s="647" t="str">
        <f>K31</f>
        <v>Optimistický scenár</v>
      </c>
      <c r="N46" s="850">
        <f>O32</f>
        <v>569481665.29580247</v>
      </c>
      <c r="O46" s="851">
        <f>P32</f>
        <v>4.3916066512506395</v>
      </c>
      <c r="P46" s="738"/>
      <c r="Q46" s="738"/>
    </row>
    <row r="47" spans="4:17" ht="12.75" customHeight="1">
      <c r="L47" s="738"/>
      <c r="M47" s="738"/>
      <c r="N47" s="738"/>
      <c r="O47" s="738"/>
      <c r="P47" s="738"/>
      <c r="Q47" s="738"/>
    </row>
    <row r="48" spans="4:17" ht="12.75" customHeight="1">
      <c r="L48" s="738"/>
      <c r="M48" s="738"/>
      <c r="N48" s="738"/>
      <c r="O48" s="738"/>
      <c r="P48" s="738"/>
      <c r="Q48" s="738"/>
    </row>
    <row r="49" spans="12:17" ht="12.75" customHeight="1">
      <c r="L49" s="738"/>
      <c r="M49" s="738"/>
      <c r="N49" s="738"/>
      <c r="O49" s="738"/>
      <c r="P49" s="738"/>
      <c r="Q49" s="738"/>
    </row>
    <row r="50" spans="12:17" ht="12.75" customHeight="1">
      <c r="L50" s="738"/>
      <c r="M50" s="738"/>
      <c r="N50" s="738"/>
      <c r="O50" s="738"/>
      <c r="P50" s="738"/>
      <c r="Q50" s="738"/>
    </row>
    <row r="51" spans="12:17" ht="13.5" customHeight="1">
      <c r="L51" s="738"/>
      <c r="M51" s="738"/>
      <c r="N51" s="738"/>
      <c r="O51" s="738"/>
      <c r="P51" s="738"/>
      <c r="Q51" s="738"/>
    </row>
    <row r="52" spans="12:17" ht="12.75" customHeight="1"/>
    <row r="53" spans="12:17" ht="12.75" customHeight="1"/>
    <row r="54" spans="12:17" ht="12.75" customHeight="1"/>
    <row r="55" spans="12:17" ht="12.75" customHeight="1"/>
    <row r="56" spans="12:17" ht="13.5" customHeight="1"/>
    <row r="57" spans="12:17" ht="13.5" customHeight="1"/>
    <row r="58" spans="12:17" ht="12.75" customHeight="1"/>
    <row r="59" spans="12:17" ht="12.75" customHeight="1"/>
    <row r="60" spans="12:17" ht="12.75" customHeight="1"/>
    <row r="61" spans="12:17" ht="12.75" customHeight="1"/>
    <row r="62" spans="12:17" ht="13.5" customHeight="1"/>
    <row r="63" spans="12:17" ht="13.5" customHeight="1"/>
  </sheetData>
  <sheetProtection algorithmName="SHA-512" hashValue="BsIJjdZq8FwdlyWTc0MwKR4kpqRqLSZdyMX3GXz5cd6EsoD/OlT2Rnj4AUDfbfQieFMaEEwZn6VPjn5Tsuo7dg==" saltValue="LTKbpRoKqS6vaCV2zZ0Q8w==" spinCount="100000" sheet="1" objects="1" scenarios="1"/>
  <mergeCells count="57">
    <mergeCell ref="F10:F14"/>
    <mergeCell ref="B9:C14"/>
    <mergeCell ref="B16:C21"/>
    <mergeCell ref="B23:C28"/>
    <mergeCell ref="F17:F21"/>
    <mergeCell ref="D23:E23"/>
    <mergeCell ref="D16:E16"/>
    <mergeCell ref="F24:F28"/>
    <mergeCell ref="K31:L40"/>
    <mergeCell ref="M31:N31"/>
    <mergeCell ref="M32:M34"/>
    <mergeCell ref="N32:N34"/>
    <mergeCell ref="P32:P40"/>
    <mergeCell ref="M35:M36"/>
    <mergeCell ref="N35:N36"/>
    <mergeCell ref="M37:M38"/>
    <mergeCell ref="N37:N38"/>
    <mergeCell ref="M39:M40"/>
    <mergeCell ref="N39:N40"/>
    <mergeCell ref="O32:O40"/>
    <mergeCell ref="O21:O29"/>
    <mergeCell ref="P21:P29"/>
    <mergeCell ref="M24:M25"/>
    <mergeCell ref="N24:N25"/>
    <mergeCell ref="M26:M27"/>
    <mergeCell ref="N26:N27"/>
    <mergeCell ref="M28:M29"/>
    <mergeCell ref="N28:N29"/>
    <mergeCell ref="G10:G14"/>
    <mergeCell ref="I10:I14"/>
    <mergeCell ref="M10:M12"/>
    <mergeCell ref="K20:L29"/>
    <mergeCell ref="I17:I21"/>
    <mergeCell ref="G24:G28"/>
    <mergeCell ref="H24:H28"/>
    <mergeCell ref="I24:I28"/>
    <mergeCell ref="M20:N20"/>
    <mergeCell ref="M21:M23"/>
    <mergeCell ref="N21:N23"/>
    <mergeCell ref="G17:G21"/>
    <mergeCell ref="H17:H21"/>
    <mergeCell ref="B2:V5"/>
    <mergeCell ref="B7:I7"/>
    <mergeCell ref="K7:P7"/>
    <mergeCell ref="D9:E9"/>
    <mergeCell ref="K9:L18"/>
    <mergeCell ref="M9:N9"/>
    <mergeCell ref="N10:N12"/>
    <mergeCell ref="O10:O18"/>
    <mergeCell ref="P10:P18"/>
    <mergeCell ref="M13:M14"/>
    <mergeCell ref="N13:N14"/>
    <mergeCell ref="N15:N16"/>
    <mergeCell ref="N17:N18"/>
    <mergeCell ref="M15:M16"/>
    <mergeCell ref="M17:M18"/>
    <mergeCell ref="H10:H1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F8AF7-EA1C-804F-9DB8-9CD949EF417A}">
  <sheetPr>
    <tabColor rgb="FF0070C0"/>
  </sheetPr>
  <dimension ref="B1:K39"/>
  <sheetViews>
    <sheetView zoomScaleNormal="100" workbookViewId="0">
      <pane xSplit="11" ySplit="2" topLeftCell="M23" activePane="bottomRight" state="frozen"/>
      <selection pane="topRight" activeCell="M1" sqref="M1"/>
      <selection pane="bottomLeft" activeCell="A3" sqref="A3"/>
      <selection pane="bottomRight" activeCell="E38" activeCellId="1" sqref="F37:G37 E38:G38"/>
    </sheetView>
  </sheetViews>
  <sheetFormatPr defaultColWidth="9.140625" defaultRowHeight="15"/>
  <cols>
    <col min="1" max="1" width="1.7109375" style="752" customWidth="1"/>
    <col min="2" max="2" width="40.85546875" style="752" customWidth="1"/>
    <col min="3" max="3" width="30.28515625" style="752" customWidth="1"/>
    <col min="4" max="4" width="56.7109375" style="752" customWidth="1"/>
    <col min="5" max="5" width="36.85546875" style="752" customWidth="1"/>
    <col min="6" max="6" width="35.42578125" style="752" customWidth="1"/>
    <col min="7" max="7" width="23.140625" style="752" customWidth="1"/>
    <col min="8" max="8" width="17.85546875" style="752" customWidth="1"/>
    <col min="9" max="9" width="14" style="752" customWidth="1"/>
    <col min="10" max="10" width="31.28515625" style="752" customWidth="1"/>
    <col min="11" max="11" width="16.140625" style="752" customWidth="1"/>
    <col min="12" max="16384" width="9.140625" style="752"/>
  </cols>
  <sheetData>
    <row r="1" spans="2:11" ht="28.5" customHeight="1">
      <c r="B1" s="1083" t="s">
        <v>601</v>
      </c>
      <c r="C1" s="1085" t="s">
        <v>602</v>
      </c>
      <c r="D1" s="1085" t="s">
        <v>603</v>
      </c>
      <c r="E1" s="1085" t="s">
        <v>604</v>
      </c>
      <c r="F1" s="1085" t="s">
        <v>605</v>
      </c>
      <c r="G1" s="1085" t="s">
        <v>606</v>
      </c>
      <c r="H1" s="1085" t="s">
        <v>607</v>
      </c>
      <c r="I1" s="1085" t="s">
        <v>608</v>
      </c>
      <c r="J1" s="1085" t="s">
        <v>609</v>
      </c>
      <c r="K1" s="1090" t="s">
        <v>610</v>
      </c>
    </row>
    <row r="2" spans="2:11" ht="15.75" thickBot="1">
      <c r="B2" s="1084"/>
      <c r="C2" s="1086"/>
      <c r="D2" s="1086"/>
      <c r="E2" s="1086"/>
      <c r="F2" s="1086"/>
      <c r="G2" s="1086" t="s">
        <v>611</v>
      </c>
      <c r="H2" s="1086"/>
      <c r="I2" s="1086"/>
      <c r="J2" s="1086"/>
      <c r="K2" s="1091"/>
    </row>
    <row r="3" spans="2:11" ht="18.75">
      <c r="B3" s="1087" t="s">
        <v>696</v>
      </c>
      <c r="C3" s="1088"/>
      <c r="D3" s="1088"/>
      <c r="E3" s="1088"/>
      <c r="F3" s="1088"/>
      <c r="G3" s="1088"/>
      <c r="H3" s="1088"/>
      <c r="I3" s="1088"/>
      <c r="J3" s="1088"/>
      <c r="K3" s="1089"/>
    </row>
    <row r="4" spans="2:11" ht="36">
      <c r="B4" s="823" t="s">
        <v>697</v>
      </c>
      <c r="C4" s="824" t="s">
        <v>706</v>
      </c>
      <c r="D4" s="824" t="s">
        <v>698</v>
      </c>
      <c r="E4" s="824" t="s">
        <v>699</v>
      </c>
      <c r="F4" s="824" t="s">
        <v>700</v>
      </c>
      <c r="G4" s="824" t="s">
        <v>638</v>
      </c>
      <c r="H4" s="824" t="s">
        <v>633</v>
      </c>
      <c r="I4" s="825" t="s">
        <v>701</v>
      </c>
      <c r="J4" s="826" t="s">
        <v>707</v>
      </c>
      <c r="K4" s="827" t="s">
        <v>619</v>
      </c>
    </row>
    <row r="5" spans="2:11" ht="24">
      <c r="B5" s="823" t="s">
        <v>708</v>
      </c>
      <c r="C5" s="824" t="s">
        <v>256</v>
      </c>
      <c r="D5" s="824" t="s">
        <v>709</v>
      </c>
      <c r="E5" s="824" t="s">
        <v>699</v>
      </c>
      <c r="F5" s="824" t="s">
        <v>700</v>
      </c>
      <c r="G5" s="824" t="s">
        <v>638</v>
      </c>
      <c r="H5" s="824" t="s">
        <v>626</v>
      </c>
      <c r="I5" s="828" t="s">
        <v>619</v>
      </c>
      <c r="J5" s="826" t="s">
        <v>702</v>
      </c>
      <c r="K5" s="827" t="s">
        <v>619</v>
      </c>
    </row>
    <row r="6" spans="2:11" ht="18.75">
      <c r="B6" s="1080" t="s">
        <v>612</v>
      </c>
      <c r="C6" s="1081"/>
      <c r="D6" s="1081"/>
      <c r="E6" s="1081"/>
      <c r="F6" s="1081"/>
      <c r="G6" s="1081"/>
      <c r="H6" s="1081"/>
      <c r="I6" s="1081"/>
      <c r="J6" s="1081"/>
      <c r="K6" s="1082"/>
    </row>
    <row r="7" spans="2:11" ht="40.5" customHeight="1">
      <c r="B7" s="753" t="s">
        <v>613</v>
      </c>
      <c r="C7" s="754" t="s">
        <v>60</v>
      </c>
      <c r="D7" s="754" t="s">
        <v>614</v>
      </c>
      <c r="E7" s="754" t="s">
        <v>615</v>
      </c>
      <c r="F7" s="754" t="s">
        <v>616</v>
      </c>
      <c r="G7" s="754" t="s">
        <v>617</v>
      </c>
      <c r="H7" s="754" t="s">
        <v>618</v>
      </c>
      <c r="I7" s="755" t="s">
        <v>619</v>
      </c>
      <c r="J7" s="756" t="s">
        <v>620</v>
      </c>
      <c r="K7" s="757" t="s">
        <v>619</v>
      </c>
    </row>
    <row r="8" spans="2:11" ht="89.25" customHeight="1">
      <c r="B8" s="753" t="s">
        <v>621</v>
      </c>
      <c r="C8" s="754" t="s">
        <v>622</v>
      </c>
      <c r="D8" s="754" t="s">
        <v>703</v>
      </c>
      <c r="E8" s="754" t="s">
        <v>623</v>
      </c>
      <c r="F8" s="754" t="s">
        <v>624</v>
      </c>
      <c r="G8" s="754" t="s">
        <v>625</v>
      </c>
      <c r="H8" s="754" t="s">
        <v>626</v>
      </c>
      <c r="I8" s="758" t="s">
        <v>627</v>
      </c>
      <c r="J8" s="759" t="s">
        <v>628</v>
      </c>
      <c r="K8" s="757" t="s">
        <v>619</v>
      </c>
    </row>
    <row r="9" spans="2:11" ht="18.75">
      <c r="B9" s="1080" t="s">
        <v>629</v>
      </c>
      <c r="C9" s="1081"/>
      <c r="D9" s="1081"/>
      <c r="E9" s="1081"/>
      <c r="F9" s="1081"/>
      <c r="G9" s="1081"/>
      <c r="H9" s="1081"/>
      <c r="I9" s="1081"/>
      <c r="J9" s="1081"/>
      <c r="K9" s="1082"/>
    </row>
    <row r="10" spans="2:11" ht="74.25" customHeight="1">
      <c r="B10" s="753" t="s">
        <v>630</v>
      </c>
      <c r="C10" s="754" t="s">
        <v>222</v>
      </c>
      <c r="D10" s="754" t="s">
        <v>705</v>
      </c>
      <c r="E10" s="754" t="s">
        <v>631</v>
      </c>
      <c r="F10" s="754" t="s">
        <v>632</v>
      </c>
      <c r="G10" s="754" t="s">
        <v>617</v>
      </c>
      <c r="H10" s="754" t="s">
        <v>633</v>
      </c>
      <c r="I10" s="755" t="s">
        <v>619</v>
      </c>
      <c r="J10" s="754" t="s">
        <v>634</v>
      </c>
      <c r="K10" s="757" t="s">
        <v>619</v>
      </c>
    </row>
    <row r="11" spans="2:11" ht="74.25" customHeight="1" thickBot="1">
      <c r="B11" s="760" t="s">
        <v>635</v>
      </c>
      <c r="C11" s="761" t="s">
        <v>59</v>
      </c>
      <c r="D11" s="761" t="s">
        <v>704</v>
      </c>
      <c r="E11" s="761" t="s">
        <v>636</v>
      </c>
      <c r="F11" s="761" t="s">
        <v>637</v>
      </c>
      <c r="G11" s="761" t="s">
        <v>638</v>
      </c>
      <c r="H11" s="762" t="s">
        <v>639</v>
      </c>
      <c r="I11" s="763" t="s">
        <v>627</v>
      </c>
      <c r="J11" s="761" t="s">
        <v>640</v>
      </c>
      <c r="K11" s="764" t="s">
        <v>619</v>
      </c>
    </row>
    <row r="12" spans="2:11">
      <c r="B12" s="765"/>
      <c r="C12" s="766"/>
      <c r="D12" s="766"/>
      <c r="E12" s="766"/>
      <c r="F12" s="766"/>
      <c r="G12" s="766"/>
      <c r="H12" s="766"/>
      <c r="I12" s="766"/>
      <c r="J12" s="766"/>
      <c r="K12" s="766"/>
    </row>
    <row r="13" spans="2:11" ht="15.75" thickBot="1">
      <c r="B13" s="767"/>
      <c r="C13" s="767"/>
      <c r="D13" s="767"/>
      <c r="E13" s="767"/>
      <c r="F13" s="767"/>
      <c r="G13" s="767"/>
      <c r="H13" s="767"/>
      <c r="I13" s="767"/>
      <c r="J13" s="767"/>
      <c r="K13" s="767"/>
    </row>
    <row r="14" spans="2:11" ht="19.5" thickBot="1">
      <c r="B14" s="1076" t="s">
        <v>606</v>
      </c>
      <c r="C14" s="1077"/>
    </row>
    <row r="15" spans="2:11">
      <c r="B15" s="1078" t="s">
        <v>641</v>
      </c>
      <c r="C15" s="1079"/>
    </row>
    <row r="16" spans="2:11">
      <c r="B16" s="1092" t="s">
        <v>642</v>
      </c>
      <c r="C16" s="1093"/>
      <c r="E16" s="768"/>
    </row>
    <row r="17" spans="2:7">
      <c r="B17" s="1092" t="s">
        <v>643</v>
      </c>
      <c r="C17" s="1093"/>
      <c r="E17" s="768"/>
    </row>
    <row r="18" spans="2:7">
      <c r="B18" s="1092" t="s">
        <v>644</v>
      </c>
      <c r="C18" s="1093"/>
    </row>
    <row r="19" spans="2:7" ht="15.75" thickBot="1">
      <c r="B19" s="1096" t="s">
        <v>645</v>
      </c>
      <c r="C19" s="1097"/>
    </row>
    <row r="20" spans="2:7" s="769" customFormat="1" ht="24.75" customHeight="1">
      <c r="B20" s="1101" t="s">
        <v>646</v>
      </c>
      <c r="C20" s="1101"/>
    </row>
    <row r="21" spans="2:7" ht="15.75" thickBot="1">
      <c r="C21" s="770"/>
    </row>
    <row r="22" spans="2:7" ht="19.5" thickBot="1">
      <c r="B22" s="1102" t="s">
        <v>607</v>
      </c>
      <c r="C22" s="1103"/>
      <c r="D22" s="1103"/>
      <c r="E22" s="1104"/>
    </row>
    <row r="23" spans="2:7">
      <c r="B23" s="1105" t="s">
        <v>647</v>
      </c>
      <c r="C23" s="1106"/>
      <c r="D23" s="1106"/>
      <c r="E23" s="1107"/>
    </row>
    <row r="24" spans="2:7" ht="30" customHeight="1">
      <c r="B24" s="1108" t="s">
        <v>648</v>
      </c>
      <c r="C24" s="1109"/>
      <c r="D24" s="1109"/>
      <c r="E24" s="1110"/>
    </row>
    <row r="25" spans="2:7" ht="31.5" customHeight="1">
      <c r="B25" s="1111" t="s">
        <v>649</v>
      </c>
      <c r="C25" s="1112"/>
      <c r="D25" s="1112"/>
      <c r="E25" s="1113"/>
    </row>
    <row r="26" spans="2:7" ht="43.5" customHeight="1">
      <c r="B26" s="1108" t="s">
        <v>650</v>
      </c>
      <c r="C26" s="1109"/>
      <c r="D26" s="1109"/>
      <c r="E26" s="1110"/>
    </row>
    <row r="27" spans="2:7" ht="15.75" thickBot="1">
      <c r="B27" s="771" t="s">
        <v>651</v>
      </c>
      <c r="C27" s="772"/>
      <c r="D27" s="772"/>
      <c r="E27" s="773"/>
    </row>
    <row r="28" spans="2:7" ht="15" customHeight="1">
      <c r="B28" s="1094" t="s">
        <v>646</v>
      </c>
      <c r="C28" s="1094"/>
      <c r="D28" s="1094"/>
      <c r="E28" s="1094"/>
    </row>
    <row r="31" spans="2:7" ht="15.75" thickBot="1">
      <c r="B31" s="1095"/>
      <c r="C31" s="1095"/>
      <c r="D31" s="1095"/>
      <c r="E31" s="1095"/>
      <c r="F31" s="1095"/>
    </row>
    <row r="32" spans="2:7" ht="15.75" thickBot="1">
      <c r="C32" s="1098" t="s">
        <v>607</v>
      </c>
      <c r="D32" s="1099"/>
      <c r="E32" s="1099"/>
      <c r="F32" s="1099"/>
      <c r="G32" s="1100"/>
    </row>
    <row r="33" spans="2:7">
      <c r="B33" s="774" t="s">
        <v>652</v>
      </c>
      <c r="C33" s="775" t="s">
        <v>653</v>
      </c>
      <c r="D33" s="776" t="s">
        <v>654</v>
      </c>
      <c r="E33" s="776" t="s">
        <v>655</v>
      </c>
      <c r="F33" s="776" t="s">
        <v>656</v>
      </c>
      <c r="G33" s="777" t="s">
        <v>657</v>
      </c>
    </row>
    <row r="34" spans="2:7">
      <c r="B34" s="778" t="s">
        <v>658</v>
      </c>
      <c r="C34" s="779" t="s">
        <v>659</v>
      </c>
      <c r="D34" s="780" t="s">
        <v>659</v>
      </c>
      <c r="E34" s="780" t="s">
        <v>659</v>
      </c>
      <c r="F34" s="780" t="s">
        <v>659</v>
      </c>
      <c r="G34" s="781" t="s">
        <v>627</v>
      </c>
    </row>
    <row r="35" spans="2:7">
      <c r="B35" s="778" t="s">
        <v>660</v>
      </c>
      <c r="C35" s="779" t="s">
        <v>659</v>
      </c>
      <c r="D35" s="780" t="s">
        <v>659</v>
      </c>
      <c r="E35" s="782" t="s">
        <v>627</v>
      </c>
      <c r="F35" s="782" t="s">
        <v>627</v>
      </c>
      <c r="G35" s="783" t="s">
        <v>661</v>
      </c>
    </row>
    <row r="36" spans="2:7">
      <c r="B36" s="778" t="s">
        <v>662</v>
      </c>
      <c r="C36" s="779" t="s">
        <v>659</v>
      </c>
      <c r="D36" s="782" t="s">
        <v>627</v>
      </c>
      <c r="E36" s="782" t="s">
        <v>627</v>
      </c>
      <c r="F36" s="784" t="s">
        <v>661</v>
      </c>
      <c r="G36" s="783" t="s">
        <v>661</v>
      </c>
    </row>
    <row r="37" spans="2:7">
      <c r="B37" s="778" t="s">
        <v>663</v>
      </c>
      <c r="C37" s="779" t="s">
        <v>659</v>
      </c>
      <c r="D37" s="782" t="s">
        <v>627</v>
      </c>
      <c r="E37" s="784" t="s">
        <v>661</v>
      </c>
      <c r="F37" s="785" t="s">
        <v>664</v>
      </c>
      <c r="G37" s="786" t="s">
        <v>664</v>
      </c>
    </row>
    <row r="38" spans="2:7" ht="15.75" thickBot="1">
      <c r="B38" s="787" t="s">
        <v>665</v>
      </c>
      <c r="C38" s="788" t="s">
        <v>627</v>
      </c>
      <c r="D38" s="789" t="s">
        <v>661</v>
      </c>
      <c r="E38" s="790" t="s">
        <v>664</v>
      </c>
      <c r="F38" s="790" t="s">
        <v>664</v>
      </c>
      <c r="G38" s="791" t="s">
        <v>664</v>
      </c>
    </row>
    <row r="39" spans="2:7">
      <c r="B39" s="1094" t="s">
        <v>646</v>
      </c>
      <c r="C39" s="1101"/>
      <c r="D39" s="1101"/>
      <c r="E39" s="1101"/>
    </row>
  </sheetData>
  <sheetProtection algorithmName="SHA-512" hashValue="twhYFZ66TZZ/Wfcdnj7J5LZ+d4R1Mw0U3JgEOs2vxYgVaxQascnm7osHUUdmrQ8W2XCISOn3tEqRXC2f8bT8IA==" saltValue="/Pzr6OYEqxC3P/CaHHHFmg==" spinCount="100000" sheet="1" objects="1" scenarios="1"/>
  <mergeCells count="29">
    <mergeCell ref="C32:G32"/>
    <mergeCell ref="B39:E39"/>
    <mergeCell ref="B20:C20"/>
    <mergeCell ref="B22:E22"/>
    <mergeCell ref="B23:E23"/>
    <mergeCell ref="B24:E24"/>
    <mergeCell ref="B25:E25"/>
    <mergeCell ref="B26:E26"/>
    <mergeCell ref="B16:C16"/>
    <mergeCell ref="B17:C17"/>
    <mergeCell ref="B18:C18"/>
    <mergeCell ref="B28:E28"/>
    <mergeCell ref="B31:F31"/>
    <mergeCell ref="B19:C19"/>
    <mergeCell ref="B14:C14"/>
    <mergeCell ref="B15:C15"/>
    <mergeCell ref="B9:K9"/>
    <mergeCell ref="B1:B2"/>
    <mergeCell ref="C1:C2"/>
    <mergeCell ref="D1:D2"/>
    <mergeCell ref="E1:E2"/>
    <mergeCell ref="F1:F2"/>
    <mergeCell ref="G1:G2"/>
    <mergeCell ref="B3:K3"/>
    <mergeCell ref="H1:H2"/>
    <mergeCell ref="I1:I2"/>
    <mergeCell ref="J1:J2"/>
    <mergeCell ref="K1:K2"/>
    <mergeCell ref="B6:K6"/>
  </mergeCells>
  <pageMargins left="0.7" right="0.7" top="0.75" bottom="0.75" header="0.3" footer="0.3"/>
  <pageSetup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1C648-7613-3C43-BA0F-A26F7AB4B042}">
  <sheetPr>
    <tabColor rgb="FF0070C0"/>
  </sheetPr>
  <dimension ref="B1:X108"/>
  <sheetViews>
    <sheetView topLeftCell="A13" zoomScale="80" zoomScaleNormal="80" workbookViewId="0">
      <selection activeCell="C94" sqref="C94"/>
    </sheetView>
  </sheetViews>
  <sheetFormatPr defaultColWidth="8.85546875" defaultRowHeight="12.75"/>
  <cols>
    <col min="1" max="1" width="2.42578125" style="641" customWidth="1"/>
    <col min="2" max="2" width="37" style="641" customWidth="1"/>
    <col min="3" max="3" width="16.28515625" style="641" customWidth="1"/>
    <col min="4" max="4" width="8.85546875" style="641"/>
    <col min="5" max="5" width="25.7109375" style="641" customWidth="1"/>
    <col min="6" max="6" width="24.42578125" style="641" customWidth="1"/>
    <col min="7" max="256" width="8.85546875" style="641"/>
    <col min="257" max="257" width="2.42578125" style="641" customWidth="1"/>
    <col min="258" max="258" width="37" style="641" customWidth="1"/>
    <col min="259" max="259" width="16.28515625" style="641" customWidth="1"/>
    <col min="260" max="260" width="8.85546875" style="641"/>
    <col min="261" max="261" width="25.7109375" style="641" customWidth="1"/>
    <col min="262" max="262" width="24.42578125" style="641" customWidth="1"/>
    <col min="263" max="512" width="8.85546875" style="641"/>
    <col min="513" max="513" width="2.42578125" style="641" customWidth="1"/>
    <col min="514" max="514" width="37" style="641" customWidth="1"/>
    <col min="515" max="515" width="16.28515625" style="641" customWidth="1"/>
    <col min="516" max="516" width="8.85546875" style="641"/>
    <col min="517" max="517" width="25.7109375" style="641" customWidth="1"/>
    <col min="518" max="518" width="24.42578125" style="641" customWidth="1"/>
    <col min="519" max="768" width="8.85546875" style="641"/>
    <col min="769" max="769" width="2.42578125" style="641" customWidth="1"/>
    <col min="770" max="770" width="37" style="641" customWidth="1"/>
    <col min="771" max="771" width="16.28515625" style="641" customWidth="1"/>
    <col min="772" max="772" width="8.85546875" style="641"/>
    <col min="773" max="773" width="25.7109375" style="641" customWidth="1"/>
    <col min="774" max="774" width="24.42578125" style="641" customWidth="1"/>
    <col min="775" max="1024" width="8.85546875" style="641"/>
    <col min="1025" max="1025" width="2.42578125" style="641" customWidth="1"/>
    <col min="1026" max="1026" width="37" style="641" customWidth="1"/>
    <col min="1027" max="1027" width="16.28515625" style="641" customWidth="1"/>
    <col min="1028" max="1028" width="8.85546875" style="641"/>
    <col min="1029" max="1029" width="25.7109375" style="641" customWidth="1"/>
    <col min="1030" max="1030" width="24.42578125" style="641" customWidth="1"/>
    <col min="1031" max="1280" width="8.85546875" style="641"/>
    <col min="1281" max="1281" width="2.42578125" style="641" customWidth="1"/>
    <col min="1282" max="1282" width="37" style="641" customWidth="1"/>
    <col min="1283" max="1283" width="16.28515625" style="641" customWidth="1"/>
    <col min="1284" max="1284" width="8.85546875" style="641"/>
    <col min="1285" max="1285" width="25.7109375" style="641" customWidth="1"/>
    <col min="1286" max="1286" width="24.42578125" style="641" customWidth="1"/>
    <col min="1287" max="1536" width="8.85546875" style="641"/>
    <col min="1537" max="1537" width="2.42578125" style="641" customWidth="1"/>
    <col min="1538" max="1538" width="37" style="641" customWidth="1"/>
    <col min="1539" max="1539" width="16.28515625" style="641" customWidth="1"/>
    <col min="1540" max="1540" width="8.85546875" style="641"/>
    <col min="1541" max="1541" width="25.7109375" style="641" customWidth="1"/>
    <col min="1542" max="1542" width="24.42578125" style="641" customWidth="1"/>
    <col min="1543" max="1792" width="8.85546875" style="641"/>
    <col min="1793" max="1793" width="2.42578125" style="641" customWidth="1"/>
    <col min="1794" max="1794" width="37" style="641" customWidth="1"/>
    <col min="1795" max="1795" width="16.28515625" style="641" customWidth="1"/>
    <col min="1796" max="1796" width="8.85546875" style="641"/>
    <col min="1797" max="1797" width="25.7109375" style="641" customWidth="1"/>
    <col min="1798" max="1798" width="24.42578125" style="641" customWidth="1"/>
    <col min="1799" max="2048" width="8.85546875" style="641"/>
    <col min="2049" max="2049" width="2.42578125" style="641" customWidth="1"/>
    <col min="2050" max="2050" width="37" style="641" customWidth="1"/>
    <col min="2051" max="2051" width="16.28515625" style="641" customWidth="1"/>
    <col min="2052" max="2052" width="8.85546875" style="641"/>
    <col min="2053" max="2053" width="25.7109375" style="641" customWidth="1"/>
    <col min="2054" max="2054" width="24.42578125" style="641" customWidth="1"/>
    <col min="2055" max="2304" width="8.85546875" style="641"/>
    <col min="2305" max="2305" width="2.42578125" style="641" customWidth="1"/>
    <col min="2306" max="2306" width="37" style="641" customWidth="1"/>
    <col min="2307" max="2307" width="16.28515625" style="641" customWidth="1"/>
    <col min="2308" max="2308" width="8.85546875" style="641"/>
    <col min="2309" max="2309" width="25.7109375" style="641" customWidth="1"/>
    <col min="2310" max="2310" width="24.42578125" style="641" customWidth="1"/>
    <col min="2311" max="2560" width="8.85546875" style="641"/>
    <col min="2561" max="2561" width="2.42578125" style="641" customWidth="1"/>
    <col min="2562" max="2562" width="37" style="641" customWidth="1"/>
    <col min="2563" max="2563" width="16.28515625" style="641" customWidth="1"/>
    <col min="2564" max="2564" width="8.85546875" style="641"/>
    <col min="2565" max="2565" width="25.7109375" style="641" customWidth="1"/>
    <col min="2566" max="2566" width="24.42578125" style="641" customWidth="1"/>
    <col min="2567" max="2816" width="8.85546875" style="641"/>
    <col min="2817" max="2817" width="2.42578125" style="641" customWidth="1"/>
    <col min="2818" max="2818" width="37" style="641" customWidth="1"/>
    <col min="2819" max="2819" width="16.28515625" style="641" customWidth="1"/>
    <col min="2820" max="2820" width="8.85546875" style="641"/>
    <col min="2821" max="2821" width="25.7109375" style="641" customWidth="1"/>
    <col min="2822" max="2822" width="24.42578125" style="641" customWidth="1"/>
    <col min="2823" max="3072" width="8.85546875" style="641"/>
    <col min="3073" max="3073" width="2.42578125" style="641" customWidth="1"/>
    <col min="3074" max="3074" width="37" style="641" customWidth="1"/>
    <col min="3075" max="3075" width="16.28515625" style="641" customWidth="1"/>
    <col min="3076" max="3076" width="8.85546875" style="641"/>
    <col min="3077" max="3077" width="25.7109375" style="641" customWidth="1"/>
    <col min="3078" max="3078" width="24.42578125" style="641" customWidth="1"/>
    <col min="3079" max="3328" width="8.85546875" style="641"/>
    <col min="3329" max="3329" width="2.42578125" style="641" customWidth="1"/>
    <col min="3330" max="3330" width="37" style="641" customWidth="1"/>
    <col min="3331" max="3331" width="16.28515625" style="641" customWidth="1"/>
    <col min="3332" max="3332" width="8.85546875" style="641"/>
    <col min="3333" max="3333" width="25.7109375" style="641" customWidth="1"/>
    <col min="3334" max="3334" width="24.42578125" style="641" customWidth="1"/>
    <col min="3335" max="3584" width="8.85546875" style="641"/>
    <col min="3585" max="3585" width="2.42578125" style="641" customWidth="1"/>
    <col min="3586" max="3586" width="37" style="641" customWidth="1"/>
    <col min="3587" max="3587" width="16.28515625" style="641" customWidth="1"/>
    <col min="3588" max="3588" width="8.85546875" style="641"/>
    <col min="3589" max="3589" width="25.7109375" style="641" customWidth="1"/>
    <col min="3590" max="3590" width="24.42578125" style="641" customWidth="1"/>
    <col min="3591" max="3840" width="8.85546875" style="641"/>
    <col min="3841" max="3841" width="2.42578125" style="641" customWidth="1"/>
    <col min="3842" max="3842" width="37" style="641" customWidth="1"/>
    <col min="3843" max="3843" width="16.28515625" style="641" customWidth="1"/>
    <col min="3844" max="3844" width="8.85546875" style="641"/>
    <col min="3845" max="3845" width="25.7109375" style="641" customWidth="1"/>
    <col min="3846" max="3846" width="24.42578125" style="641" customWidth="1"/>
    <col min="3847" max="4096" width="8.85546875" style="641"/>
    <col min="4097" max="4097" width="2.42578125" style="641" customWidth="1"/>
    <col min="4098" max="4098" width="37" style="641" customWidth="1"/>
    <col min="4099" max="4099" width="16.28515625" style="641" customWidth="1"/>
    <col min="4100" max="4100" width="8.85546875" style="641"/>
    <col min="4101" max="4101" width="25.7109375" style="641" customWidth="1"/>
    <col min="4102" max="4102" width="24.42578125" style="641" customWidth="1"/>
    <col min="4103" max="4352" width="8.85546875" style="641"/>
    <col min="4353" max="4353" width="2.42578125" style="641" customWidth="1"/>
    <col min="4354" max="4354" width="37" style="641" customWidth="1"/>
    <col min="4355" max="4355" width="16.28515625" style="641" customWidth="1"/>
    <col min="4356" max="4356" width="8.85546875" style="641"/>
    <col min="4357" max="4357" width="25.7109375" style="641" customWidth="1"/>
    <col min="4358" max="4358" width="24.42578125" style="641" customWidth="1"/>
    <col min="4359" max="4608" width="8.85546875" style="641"/>
    <col min="4609" max="4609" width="2.42578125" style="641" customWidth="1"/>
    <col min="4610" max="4610" width="37" style="641" customWidth="1"/>
    <col min="4611" max="4611" width="16.28515625" style="641" customWidth="1"/>
    <col min="4612" max="4612" width="8.85546875" style="641"/>
    <col min="4613" max="4613" width="25.7109375" style="641" customWidth="1"/>
    <col min="4614" max="4614" width="24.42578125" style="641" customWidth="1"/>
    <col min="4615" max="4864" width="8.85546875" style="641"/>
    <col min="4865" max="4865" width="2.42578125" style="641" customWidth="1"/>
    <col min="4866" max="4866" width="37" style="641" customWidth="1"/>
    <col min="4867" max="4867" width="16.28515625" style="641" customWidth="1"/>
    <col min="4868" max="4868" width="8.85546875" style="641"/>
    <col min="4869" max="4869" width="25.7109375" style="641" customWidth="1"/>
    <col min="4870" max="4870" width="24.42578125" style="641" customWidth="1"/>
    <col min="4871" max="5120" width="8.85546875" style="641"/>
    <col min="5121" max="5121" width="2.42578125" style="641" customWidth="1"/>
    <col min="5122" max="5122" width="37" style="641" customWidth="1"/>
    <col min="5123" max="5123" width="16.28515625" style="641" customWidth="1"/>
    <col min="5124" max="5124" width="8.85546875" style="641"/>
    <col min="5125" max="5125" width="25.7109375" style="641" customWidth="1"/>
    <col min="5126" max="5126" width="24.42578125" style="641" customWidth="1"/>
    <col min="5127" max="5376" width="8.85546875" style="641"/>
    <col min="5377" max="5377" width="2.42578125" style="641" customWidth="1"/>
    <col min="5378" max="5378" width="37" style="641" customWidth="1"/>
    <col min="5379" max="5379" width="16.28515625" style="641" customWidth="1"/>
    <col min="5380" max="5380" width="8.85546875" style="641"/>
    <col min="5381" max="5381" width="25.7109375" style="641" customWidth="1"/>
    <col min="5382" max="5382" width="24.42578125" style="641" customWidth="1"/>
    <col min="5383" max="5632" width="8.85546875" style="641"/>
    <col min="5633" max="5633" width="2.42578125" style="641" customWidth="1"/>
    <col min="5634" max="5634" width="37" style="641" customWidth="1"/>
    <col min="5635" max="5635" width="16.28515625" style="641" customWidth="1"/>
    <col min="5636" max="5636" width="8.85546875" style="641"/>
    <col min="5637" max="5637" width="25.7109375" style="641" customWidth="1"/>
    <col min="5638" max="5638" width="24.42578125" style="641" customWidth="1"/>
    <col min="5639" max="5888" width="8.85546875" style="641"/>
    <col min="5889" max="5889" width="2.42578125" style="641" customWidth="1"/>
    <col min="5890" max="5890" width="37" style="641" customWidth="1"/>
    <col min="5891" max="5891" width="16.28515625" style="641" customWidth="1"/>
    <col min="5892" max="5892" width="8.85546875" style="641"/>
    <col min="5893" max="5893" width="25.7109375" style="641" customWidth="1"/>
    <col min="5894" max="5894" width="24.42578125" style="641" customWidth="1"/>
    <col min="5895" max="6144" width="8.85546875" style="641"/>
    <col min="6145" max="6145" width="2.42578125" style="641" customWidth="1"/>
    <col min="6146" max="6146" width="37" style="641" customWidth="1"/>
    <col min="6147" max="6147" width="16.28515625" style="641" customWidth="1"/>
    <col min="6148" max="6148" width="8.85546875" style="641"/>
    <col min="6149" max="6149" width="25.7109375" style="641" customWidth="1"/>
    <col min="6150" max="6150" width="24.42578125" style="641" customWidth="1"/>
    <col min="6151" max="6400" width="8.85546875" style="641"/>
    <col min="6401" max="6401" width="2.42578125" style="641" customWidth="1"/>
    <col min="6402" max="6402" width="37" style="641" customWidth="1"/>
    <col min="6403" max="6403" width="16.28515625" style="641" customWidth="1"/>
    <col min="6404" max="6404" width="8.85546875" style="641"/>
    <col min="6405" max="6405" width="25.7109375" style="641" customWidth="1"/>
    <col min="6406" max="6406" width="24.42578125" style="641" customWidth="1"/>
    <col min="6407" max="6656" width="8.85546875" style="641"/>
    <col min="6657" max="6657" width="2.42578125" style="641" customWidth="1"/>
    <col min="6658" max="6658" width="37" style="641" customWidth="1"/>
    <col min="6659" max="6659" width="16.28515625" style="641" customWidth="1"/>
    <col min="6660" max="6660" width="8.85546875" style="641"/>
    <col min="6661" max="6661" width="25.7109375" style="641" customWidth="1"/>
    <col min="6662" max="6662" width="24.42578125" style="641" customWidth="1"/>
    <col min="6663" max="6912" width="8.85546875" style="641"/>
    <col min="6913" max="6913" width="2.42578125" style="641" customWidth="1"/>
    <col min="6914" max="6914" width="37" style="641" customWidth="1"/>
    <col min="6915" max="6915" width="16.28515625" style="641" customWidth="1"/>
    <col min="6916" max="6916" width="8.85546875" style="641"/>
    <col min="6917" max="6917" width="25.7109375" style="641" customWidth="1"/>
    <col min="6918" max="6918" width="24.42578125" style="641" customWidth="1"/>
    <col min="6919" max="7168" width="8.85546875" style="641"/>
    <col min="7169" max="7169" width="2.42578125" style="641" customWidth="1"/>
    <col min="7170" max="7170" width="37" style="641" customWidth="1"/>
    <col min="7171" max="7171" width="16.28515625" style="641" customWidth="1"/>
    <col min="7172" max="7172" width="8.85546875" style="641"/>
    <col min="7173" max="7173" width="25.7109375" style="641" customWidth="1"/>
    <col min="7174" max="7174" width="24.42578125" style="641" customWidth="1"/>
    <col min="7175" max="7424" width="8.85546875" style="641"/>
    <col min="7425" max="7425" width="2.42578125" style="641" customWidth="1"/>
    <col min="7426" max="7426" width="37" style="641" customWidth="1"/>
    <col min="7427" max="7427" width="16.28515625" style="641" customWidth="1"/>
    <col min="7428" max="7428" width="8.85546875" style="641"/>
    <col min="7429" max="7429" width="25.7109375" style="641" customWidth="1"/>
    <col min="7430" max="7430" width="24.42578125" style="641" customWidth="1"/>
    <col min="7431" max="7680" width="8.85546875" style="641"/>
    <col min="7681" max="7681" width="2.42578125" style="641" customWidth="1"/>
    <col min="7682" max="7682" width="37" style="641" customWidth="1"/>
    <col min="7683" max="7683" width="16.28515625" style="641" customWidth="1"/>
    <col min="7684" max="7684" width="8.85546875" style="641"/>
    <col min="7685" max="7685" width="25.7109375" style="641" customWidth="1"/>
    <col min="7686" max="7686" width="24.42578125" style="641" customWidth="1"/>
    <col min="7687" max="7936" width="8.85546875" style="641"/>
    <col min="7937" max="7937" width="2.42578125" style="641" customWidth="1"/>
    <col min="7938" max="7938" width="37" style="641" customWidth="1"/>
    <col min="7939" max="7939" width="16.28515625" style="641" customWidth="1"/>
    <col min="7940" max="7940" width="8.85546875" style="641"/>
    <col min="7941" max="7941" width="25.7109375" style="641" customWidth="1"/>
    <col min="7942" max="7942" width="24.42578125" style="641" customWidth="1"/>
    <col min="7943" max="8192" width="8.85546875" style="641"/>
    <col min="8193" max="8193" width="2.42578125" style="641" customWidth="1"/>
    <col min="8194" max="8194" width="37" style="641" customWidth="1"/>
    <col min="8195" max="8195" width="16.28515625" style="641" customWidth="1"/>
    <col min="8196" max="8196" width="8.85546875" style="641"/>
    <col min="8197" max="8197" width="25.7109375" style="641" customWidth="1"/>
    <col min="8198" max="8198" width="24.42578125" style="641" customWidth="1"/>
    <col min="8199" max="8448" width="8.85546875" style="641"/>
    <col min="8449" max="8449" width="2.42578125" style="641" customWidth="1"/>
    <col min="8450" max="8450" width="37" style="641" customWidth="1"/>
    <col min="8451" max="8451" width="16.28515625" style="641" customWidth="1"/>
    <col min="8452" max="8452" width="8.85546875" style="641"/>
    <col min="8453" max="8453" width="25.7109375" style="641" customWidth="1"/>
    <col min="8454" max="8454" width="24.42578125" style="641" customWidth="1"/>
    <col min="8455" max="8704" width="8.85546875" style="641"/>
    <col min="8705" max="8705" width="2.42578125" style="641" customWidth="1"/>
    <col min="8706" max="8706" width="37" style="641" customWidth="1"/>
    <col min="8707" max="8707" width="16.28515625" style="641" customWidth="1"/>
    <col min="8708" max="8708" width="8.85546875" style="641"/>
    <col min="8709" max="8709" width="25.7109375" style="641" customWidth="1"/>
    <col min="8710" max="8710" width="24.42578125" style="641" customWidth="1"/>
    <col min="8711" max="8960" width="8.85546875" style="641"/>
    <col min="8961" max="8961" width="2.42578125" style="641" customWidth="1"/>
    <col min="8962" max="8962" width="37" style="641" customWidth="1"/>
    <col min="8963" max="8963" width="16.28515625" style="641" customWidth="1"/>
    <col min="8964" max="8964" width="8.85546875" style="641"/>
    <col min="8965" max="8965" width="25.7109375" style="641" customWidth="1"/>
    <col min="8966" max="8966" width="24.42578125" style="641" customWidth="1"/>
    <col min="8967" max="9216" width="8.85546875" style="641"/>
    <col min="9217" max="9217" width="2.42578125" style="641" customWidth="1"/>
    <col min="9218" max="9218" width="37" style="641" customWidth="1"/>
    <col min="9219" max="9219" width="16.28515625" style="641" customWidth="1"/>
    <col min="9220" max="9220" width="8.85546875" style="641"/>
    <col min="9221" max="9221" width="25.7109375" style="641" customWidth="1"/>
    <col min="9222" max="9222" width="24.42578125" style="641" customWidth="1"/>
    <col min="9223" max="9472" width="8.85546875" style="641"/>
    <col min="9473" max="9473" width="2.42578125" style="641" customWidth="1"/>
    <col min="9474" max="9474" width="37" style="641" customWidth="1"/>
    <col min="9475" max="9475" width="16.28515625" style="641" customWidth="1"/>
    <col min="9476" max="9476" width="8.85546875" style="641"/>
    <col min="9477" max="9477" width="25.7109375" style="641" customWidth="1"/>
    <col min="9478" max="9478" width="24.42578125" style="641" customWidth="1"/>
    <col min="9479" max="9728" width="8.85546875" style="641"/>
    <col min="9729" max="9729" width="2.42578125" style="641" customWidth="1"/>
    <col min="9730" max="9730" width="37" style="641" customWidth="1"/>
    <col min="9731" max="9731" width="16.28515625" style="641" customWidth="1"/>
    <col min="9732" max="9732" width="8.85546875" style="641"/>
    <col min="9733" max="9733" width="25.7109375" style="641" customWidth="1"/>
    <col min="9734" max="9734" width="24.42578125" style="641" customWidth="1"/>
    <col min="9735" max="9984" width="8.85546875" style="641"/>
    <col min="9985" max="9985" width="2.42578125" style="641" customWidth="1"/>
    <col min="9986" max="9986" width="37" style="641" customWidth="1"/>
    <col min="9987" max="9987" width="16.28515625" style="641" customWidth="1"/>
    <col min="9988" max="9988" width="8.85546875" style="641"/>
    <col min="9989" max="9989" width="25.7109375" style="641" customWidth="1"/>
    <col min="9990" max="9990" width="24.42578125" style="641" customWidth="1"/>
    <col min="9991" max="10240" width="8.85546875" style="641"/>
    <col min="10241" max="10241" width="2.42578125" style="641" customWidth="1"/>
    <col min="10242" max="10242" width="37" style="641" customWidth="1"/>
    <col min="10243" max="10243" width="16.28515625" style="641" customWidth="1"/>
    <col min="10244" max="10244" width="8.85546875" style="641"/>
    <col min="10245" max="10245" width="25.7109375" style="641" customWidth="1"/>
    <col min="10246" max="10246" width="24.42578125" style="641" customWidth="1"/>
    <col min="10247" max="10496" width="8.85546875" style="641"/>
    <col min="10497" max="10497" width="2.42578125" style="641" customWidth="1"/>
    <col min="10498" max="10498" width="37" style="641" customWidth="1"/>
    <col min="10499" max="10499" width="16.28515625" style="641" customWidth="1"/>
    <col min="10500" max="10500" width="8.85546875" style="641"/>
    <col min="10501" max="10501" width="25.7109375" style="641" customWidth="1"/>
    <col min="10502" max="10502" width="24.42578125" style="641" customWidth="1"/>
    <col min="10503" max="10752" width="8.85546875" style="641"/>
    <col min="10753" max="10753" width="2.42578125" style="641" customWidth="1"/>
    <col min="10754" max="10754" width="37" style="641" customWidth="1"/>
    <col min="10755" max="10755" width="16.28515625" style="641" customWidth="1"/>
    <col min="10756" max="10756" width="8.85546875" style="641"/>
    <col min="10757" max="10757" width="25.7109375" style="641" customWidth="1"/>
    <col min="10758" max="10758" width="24.42578125" style="641" customWidth="1"/>
    <col min="10759" max="11008" width="8.85546875" style="641"/>
    <col min="11009" max="11009" width="2.42578125" style="641" customWidth="1"/>
    <col min="11010" max="11010" width="37" style="641" customWidth="1"/>
    <col min="11011" max="11011" width="16.28515625" style="641" customWidth="1"/>
    <col min="11012" max="11012" width="8.85546875" style="641"/>
    <col min="11013" max="11013" width="25.7109375" style="641" customWidth="1"/>
    <col min="11014" max="11014" width="24.42578125" style="641" customWidth="1"/>
    <col min="11015" max="11264" width="8.85546875" style="641"/>
    <col min="11265" max="11265" width="2.42578125" style="641" customWidth="1"/>
    <col min="11266" max="11266" width="37" style="641" customWidth="1"/>
    <col min="11267" max="11267" width="16.28515625" style="641" customWidth="1"/>
    <col min="11268" max="11268" width="8.85546875" style="641"/>
    <col min="11269" max="11269" width="25.7109375" style="641" customWidth="1"/>
    <col min="11270" max="11270" width="24.42578125" style="641" customWidth="1"/>
    <col min="11271" max="11520" width="8.85546875" style="641"/>
    <col min="11521" max="11521" width="2.42578125" style="641" customWidth="1"/>
    <col min="11522" max="11522" width="37" style="641" customWidth="1"/>
    <col min="11523" max="11523" width="16.28515625" style="641" customWidth="1"/>
    <col min="11524" max="11524" width="8.85546875" style="641"/>
    <col min="11525" max="11525" width="25.7109375" style="641" customWidth="1"/>
    <col min="11526" max="11526" width="24.42578125" style="641" customWidth="1"/>
    <col min="11527" max="11776" width="8.85546875" style="641"/>
    <col min="11777" max="11777" width="2.42578125" style="641" customWidth="1"/>
    <col min="11778" max="11778" width="37" style="641" customWidth="1"/>
    <col min="11779" max="11779" width="16.28515625" style="641" customWidth="1"/>
    <col min="11780" max="11780" width="8.85546875" style="641"/>
    <col min="11781" max="11781" width="25.7109375" style="641" customWidth="1"/>
    <col min="11782" max="11782" width="24.42578125" style="641" customWidth="1"/>
    <col min="11783" max="12032" width="8.85546875" style="641"/>
    <col min="12033" max="12033" width="2.42578125" style="641" customWidth="1"/>
    <col min="12034" max="12034" width="37" style="641" customWidth="1"/>
    <col min="12035" max="12035" width="16.28515625" style="641" customWidth="1"/>
    <col min="12036" max="12036" width="8.85546875" style="641"/>
    <col min="12037" max="12037" width="25.7109375" style="641" customWidth="1"/>
    <col min="12038" max="12038" width="24.42578125" style="641" customWidth="1"/>
    <col min="12039" max="12288" width="8.85546875" style="641"/>
    <col min="12289" max="12289" width="2.42578125" style="641" customWidth="1"/>
    <col min="12290" max="12290" width="37" style="641" customWidth="1"/>
    <col min="12291" max="12291" width="16.28515625" style="641" customWidth="1"/>
    <col min="12292" max="12292" width="8.85546875" style="641"/>
    <col min="12293" max="12293" width="25.7109375" style="641" customWidth="1"/>
    <col min="12294" max="12294" width="24.42578125" style="641" customWidth="1"/>
    <col min="12295" max="12544" width="8.85546875" style="641"/>
    <col min="12545" max="12545" width="2.42578125" style="641" customWidth="1"/>
    <col min="12546" max="12546" width="37" style="641" customWidth="1"/>
    <col min="12547" max="12547" width="16.28515625" style="641" customWidth="1"/>
    <col min="12548" max="12548" width="8.85546875" style="641"/>
    <col min="12549" max="12549" width="25.7109375" style="641" customWidth="1"/>
    <col min="12550" max="12550" width="24.42578125" style="641" customWidth="1"/>
    <col min="12551" max="12800" width="8.85546875" style="641"/>
    <col min="12801" max="12801" width="2.42578125" style="641" customWidth="1"/>
    <col min="12802" max="12802" width="37" style="641" customWidth="1"/>
    <col min="12803" max="12803" width="16.28515625" style="641" customWidth="1"/>
    <col min="12804" max="12804" width="8.85546875" style="641"/>
    <col min="12805" max="12805" width="25.7109375" style="641" customWidth="1"/>
    <col min="12806" max="12806" width="24.42578125" style="641" customWidth="1"/>
    <col min="12807" max="13056" width="8.85546875" style="641"/>
    <col min="13057" max="13057" width="2.42578125" style="641" customWidth="1"/>
    <col min="13058" max="13058" width="37" style="641" customWidth="1"/>
    <col min="13059" max="13059" width="16.28515625" style="641" customWidth="1"/>
    <col min="13060" max="13060" width="8.85546875" style="641"/>
    <col min="13061" max="13061" width="25.7109375" style="641" customWidth="1"/>
    <col min="13062" max="13062" width="24.42578125" style="641" customWidth="1"/>
    <col min="13063" max="13312" width="8.85546875" style="641"/>
    <col min="13313" max="13313" width="2.42578125" style="641" customWidth="1"/>
    <col min="13314" max="13314" width="37" style="641" customWidth="1"/>
    <col min="13315" max="13315" width="16.28515625" style="641" customWidth="1"/>
    <col min="13316" max="13316" width="8.85546875" style="641"/>
    <col min="13317" max="13317" width="25.7109375" style="641" customWidth="1"/>
    <col min="13318" max="13318" width="24.42578125" style="641" customWidth="1"/>
    <col min="13319" max="13568" width="8.85546875" style="641"/>
    <col min="13569" max="13569" width="2.42578125" style="641" customWidth="1"/>
    <col min="13570" max="13570" width="37" style="641" customWidth="1"/>
    <col min="13571" max="13571" width="16.28515625" style="641" customWidth="1"/>
    <col min="13572" max="13572" width="8.85546875" style="641"/>
    <col min="13573" max="13573" width="25.7109375" style="641" customWidth="1"/>
    <col min="13574" max="13574" width="24.42578125" style="641" customWidth="1"/>
    <col min="13575" max="13824" width="8.85546875" style="641"/>
    <col min="13825" max="13825" width="2.42578125" style="641" customWidth="1"/>
    <col min="13826" max="13826" width="37" style="641" customWidth="1"/>
    <col min="13827" max="13827" width="16.28515625" style="641" customWidth="1"/>
    <col min="13828" max="13828" width="8.85546875" style="641"/>
    <col min="13829" max="13829" width="25.7109375" style="641" customWidth="1"/>
    <col min="13830" max="13830" width="24.42578125" style="641" customWidth="1"/>
    <col min="13831" max="14080" width="8.85546875" style="641"/>
    <col min="14081" max="14081" width="2.42578125" style="641" customWidth="1"/>
    <col min="14082" max="14082" width="37" style="641" customWidth="1"/>
    <col min="14083" max="14083" width="16.28515625" style="641" customWidth="1"/>
    <col min="14084" max="14084" width="8.85546875" style="641"/>
    <col min="14085" max="14085" width="25.7109375" style="641" customWidth="1"/>
    <col min="14086" max="14086" width="24.42578125" style="641" customWidth="1"/>
    <col min="14087" max="14336" width="8.85546875" style="641"/>
    <col min="14337" max="14337" width="2.42578125" style="641" customWidth="1"/>
    <col min="14338" max="14338" width="37" style="641" customWidth="1"/>
    <col min="14339" max="14339" width="16.28515625" style="641" customWidth="1"/>
    <col min="14340" max="14340" width="8.85546875" style="641"/>
    <col min="14341" max="14341" width="25.7109375" style="641" customWidth="1"/>
    <col min="14342" max="14342" width="24.42578125" style="641" customWidth="1"/>
    <col min="14343" max="14592" width="8.85546875" style="641"/>
    <col min="14593" max="14593" width="2.42578125" style="641" customWidth="1"/>
    <col min="14594" max="14594" width="37" style="641" customWidth="1"/>
    <col min="14595" max="14595" width="16.28515625" style="641" customWidth="1"/>
    <col min="14596" max="14596" width="8.85546875" style="641"/>
    <col min="14597" max="14597" width="25.7109375" style="641" customWidth="1"/>
    <col min="14598" max="14598" width="24.42578125" style="641" customWidth="1"/>
    <col min="14599" max="14848" width="8.85546875" style="641"/>
    <col min="14849" max="14849" width="2.42578125" style="641" customWidth="1"/>
    <col min="14850" max="14850" width="37" style="641" customWidth="1"/>
    <col min="14851" max="14851" width="16.28515625" style="641" customWidth="1"/>
    <col min="14852" max="14852" width="8.85546875" style="641"/>
    <col min="14853" max="14853" width="25.7109375" style="641" customWidth="1"/>
    <col min="14854" max="14854" width="24.42578125" style="641" customWidth="1"/>
    <col min="14855" max="15104" width="8.85546875" style="641"/>
    <col min="15105" max="15105" width="2.42578125" style="641" customWidth="1"/>
    <col min="15106" max="15106" width="37" style="641" customWidth="1"/>
    <col min="15107" max="15107" width="16.28515625" style="641" customWidth="1"/>
    <col min="15108" max="15108" width="8.85546875" style="641"/>
    <col min="15109" max="15109" width="25.7109375" style="641" customWidth="1"/>
    <col min="15110" max="15110" width="24.42578125" style="641" customWidth="1"/>
    <col min="15111" max="15360" width="8.85546875" style="641"/>
    <col min="15361" max="15361" width="2.42578125" style="641" customWidth="1"/>
    <col min="15362" max="15362" width="37" style="641" customWidth="1"/>
    <col min="15363" max="15363" width="16.28515625" style="641" customWidth="1"/>
    <col min="15364" max="15364" width="8.85546875" style="641"/>
    <col min="15365" max="15365" width="25.7109375" style="641" customWidth="1"/>
    <col min="15366" max="15366" width="24.42578125" style="641" customWidth="1"/>
    <col min="15367" max="15616" width="8.85546875" style="641"/>
    <col min="15617" max="15617" width="2.42578125" style="641" customWidth="1"/>
    <col min="15618" max="15618" width="37" style="641" customWidth="1"/>
    <col min="15619" max="15619" width="16.28515625" style="641" customWidth="1"/>
    <col min="15620" max="15620" width="8.85546875" style="641"/>
    <col min="15621" max="15621" width="25.7109375" style="641" customWidth="1"/>
    <col min="15622" max="15622" width="24.42578125" style="641" customWidth="1"/>
    <col min="15623" max="15872" width="8.85546875" style="641"/>
    <col min="15873" max="15873" width="2.42578125" style="641" customWidth="1"/>
    <col min="15874" max="15874" width="37" style="641" customWidth="1"/>
    <col min="15875" max="15875" width="16.28515625" style="641" customWidth="1"/>
    <col min="15876" max="15876" width="8.85546875" style="641"/>
    <col min="15877" max="15877" width="25.7109375" style="641" customWidth="1"/>
    <col min="15878" max="15878" width="24.42578125" style="641" customWidth="1"/>
    <col min="15879" max="16128" width="8.85546875" style="641"/>
    <col min="16129" max="16129" width="2.42578125" style="641" customWidth="1"/>
    <col min="16130" max="16130" width="37" style="641" customWidth="1"/>
    <col min="16131" max="16131" width="16.28515625" style="641" customWidth="1"/>
    <col min="16132" max="16132" width="8.85546875" style="641"/>
    <col min="16133" max="16133" width="25.7109375" style="641" customWidth="1"/>
    <col min="16134" max="16134" width="24.42578125" style="641" customWidth="1"/>
    <col min="16135" max="16384" width="8.85546875" style="641"/>
  </cols>
  <sheetData>
    <row r="1" spans="2:24" ht="13.5" thickBot="1"/>
    <row r="2" spans="2:24">
      <c r="B2" s="953" t="s">
        <v>689</v>
      </c>
      <c r="C2" s="954"/>
      <c r="D2" s="954"/>
      <c r="E2" s="954"/>
      <c r="F2" s="954"/>
      <c r="G2" s="954"/>
      <c r="H2" s="954"/>
      <c r="I2" s="954"/>
      <c r="J2" s="954"/>
      <c r="K2" s="954"/>
      <c r="L2" s="954"/>
      <c r="M2" s="954"/>
      <c r="N2" s="954"/>
      <c r="O2" s="954"/>
      <c r="P2" s="954"/>
      <c r="Q2" s="954"/>
      <c r="R2" s="954"/>
      <c r="S2" s="954"/>
      <c r="T2" s="954"/>
      <c r="U2" s="954"/>
      <c r="V2" s="954"/>
      <c r="W2" s="954"/>
      <c r="X2" s="955"/>
    </row>
    <row r="3" spans="2:24">
      <c r="B3" s="956"/>
      <c r="C3" s="957"/>
      <c r="D3" s="957"/>
      <c r="E3" s="957"/>
      <c r="F3" s="957"/>
      <c r="G3" s="957"/>
      <c r="H3" s="957"/>
      <c r="I3" s="957"/>
      <c r="J3" s="957"/>
      <c r="K3" s="957"/>
      <c r="L3" s="957"/>
      <c r="M3" s="957"/>
      <c r="N3" s="957"/>
      <c r="O3" s="957"/>
      <c r="P3" s="957"/>
      <c r="Q3" s="957"/>
      <c r="R3" s="957"/>
      <c r="S3" s="957"/>
      <c r="T3" s="957"/>
      <c r="U3" s="957"/>
      <c r="V3" s="957"/>
      <c r="W3" s="957"/>
      <c r="X3" s="958"/>
    </row>
    <row r="4" spans="2:24">
      <c r="B4" s="956"/>
      <c r="C4" s="957"/>
      <c r="D4" s="957"/>
      <c r="E4" s="957"/>
      <c r="F4" s="957"/>
      <c r="G4" s="957"/>
      <c r="H4" s="957"/>
      <c r="I4" s="957"/>
      <c r="J4" s="957"/>
      <c r="K4" s="957"/>
      <c r="L4" s="957"/>
      <c r="M4" s="957"/>
      <c r="N4" s="957"/>
      <c r="O4" s="957"/>
      <c r="P4" s="957"/>
      <c r="Q4" s="957"/>
      <c r="R4" s="957"/>
      <c r="S4" s="957"/>
      <c r="T4" s="957"/>
      <c r="U4" s="957"/>
      <c r="V4" s="957"/>
      <c r="W4" s="957"/>
      <c r="X4" s="958"/>
    </row>
    <row r="5" spans="2:24" ht="13.5" thickBot="1">
      <c r="B5" s="959"/>
      <c r="C5" s="960"/>
      <c r="D5" s="960"/>
      <c r="E5" s="960"/>
      <c r="F5" s="960"/>
      <c r="G5" s="960"/>
      <c r="H5" s="960"/>
      <c r="I5" s="960"/>
      <c r="J5" s="960"/>
      <c r="K5" s="960"/>
      <c r="L5" s="960"/>
      <c r="M5" s="960"/>
      <c r="N5" s="960"/>
      <c r="O5" s="960"/>
      <c r="P5" s="960"/>
      <c r="Q5" s="960"/>
      <c r="R5" s="960"/>
      <c r="S5" s="960"/>
      <c r="T5" s="960"/>
      <c r="U5" s="960"/>
      <c r="V5" s="960"/>
      <c r="W5" s="960"/>
      <c r="X5" s="961"/>
    </row>
    <row r="6" spans="2:24" ht="5.25" customHeight="1" thickBot="1"/>
    <row r="7" spans="2:24" ht="21" customHeight="1" thickBot="1">
      <c r="B7" s="1116" t="s">
        <v>666</v>
      </c>
      <c r="C7" s="1117"/>
      <c r="D7" s="1117"/>
      <c r="E7" s="1117"/>
      <c r="F7" s="1118"/>
    </row>
    <row r="8" spans="2:24" ht="6" customHeight="1" thickBot="1"/>
    <row r="9" spans="2:24" ht="13.5" thickBot="1">
      <c r="B9" s="1119" t="s">
        <v>667</v>
      </c>
      <c r="C9" s="1120"/>
      <c r="D9" s="1120"/>
      <c r="E9" s="1120"/>
      <c r="F9" s="1121"/>
    </row>
    <row r="10" spans="2:24" ht="13.5" thickBot="1">
      <c r="B10" s="1122" t="s">
        <v>668</v>
      </c>
      <c r="C10" s="1123"/>
      <c r="D10" s="1124"/>
      <c r="E10" s="792" t="s">
        <v>669</v>
      </c>
      <c r="F10" s="793" t="s">
        <v>670</v>
      </c>
    </row>
    <row r="11" spans="2:24">
      <c r="B11" s="1125" t="s">
        <v>551</v>
      </c>
      <c r="C11" s="1128" t="s">
        <v>671</v>
      </c>
      <c r="D11" s="1129"/>
      <c r="E11" s="794">
        <v>355402042.68244368</v>
      </c>
      <c r="F11" s="795">
        <v>6443181.971622183</v>
      </c>
    </row>
    <row r="12" spans="2:24" ht="24">
      <c r="B12" s="1126"/>
      <c r="C12" s="1114" t="s">
        <v>672</v>
      </c>
      <c r="D12" s="796" t="s">
        <v>673</v>
      </c>
      <c r="E12" s="797">
        <v>342772109.23993492</v>
      </c>
      <c r="F12" s="798"/>
    </row>
    <row r="13" spans="2:24" ht="24">
      <c r="B13" s="1126"/>
      <c r="C13" s="1114"/>
      <c r="D13" s="796" t="s">
        <v>674</v>
      </c>
      <c r="E13" s="797">
        <v>368031976.12495244</v>
      </c>
      <c r="F13" s="798"/>
    </row>
    <row r="14" spans="2:24">
      <c r="B14" s="1126"/>
      <c r="C14" s="1114" t="s">
        <v>675</v>
      </c>
      <c r="D14" s="1115"/>
      <c r="E14" s="797">
        <v>355669547.19511938</v>
      </c>
      <c r="F14" s="798"/>
    </row>
    <row r="15" spans="2:24">
      <c r="B15" s="1126"/>
      <c r="C15" s="1114" t="s">
        <v>676</v>
      </c>
      <c r="D15" s="1115"/>
      <c r="E15" s="797">
        <v>357071033.44952059</v>
      </c>
      <c r="F15" s="798"/>
    </row>
    <row r="16" spans="2:24">
      <c r="B16" s="1126"/>
      <c r="C16" s="1114" t="s">
        <v>677</v>
      </c>
      <c r="D16" s="1115"/>
      <c r="E16" s="797">
        <v>4.1514593919437133E+17</v>
      </c>
      <c r="F16" s="798"/>
    </row>
    <row r="17" spans="2:14">
      <c r="B17" s="1126"/>
      <c r="C17" s="1114" t="s">
        <v>678</v>
      </c>
      <c r="D17" s="1115"/>
      <c r="E17" s="797">
        <v>644318197.16221833</v>
      </c>
      <c r="F17" s="798"/>
    </row>
    <row r="18" spans="2:14">
      <c r="B18" s="1126"/>
      <c r="C18" s="1114" t="s">
        <v>679</v>
      </c>
      <c r="D18" s="1115"/>
      <c r="E18" s="797">
        <v>-2176294203.7882757</v>
      </c>
      <c r="F18" s="798"/>
    </row>
    <row r="19" spans="2:14">
      <c r="B19" s="1126"/>
      <c r="C19" s="1114" t="s">
        <v>680</v>
      </c>
      <c r="D19" s="1115"/>
      <c r="E19" s="797">
        <v>2862725566.7975397</v>
      </c>
      <c r="F19" s="798"/>
    </row>
    <row r="20" spans="2:14">
      <c r="B20" s="1126"/>
      <c r="C20" s="1114" t="s">
        <v>681</v>
      </c>
      <c r="D20" s="1115"/>
      <c r="E20" s="797">
        <v>5039019770.5858154</v>
      </c>
      <c r="F20" s="798"/>
    </row>
    <row r="21" spans="2:14">
      <c r="B21" s="1126"/>
      <c r="C21" s="1114" t="s">
        <v>682</v>
      </c>
      <c r="D21" s="1115"/>
      <c r="E21" s="797">
        <v>863447130.96242404</v>
      </c>
      <c r="F21" s="798"/>
    </row>
    <row r="22" spans="2:14">
      <c r="B22" s="1126"/>
      <c r="C22" s="1114" t="s">
        <v>683</v>
      </c>
      <c r="D22" s="1115"/>
      <c r="E22" s="797">
        <v>-7.7808321033290074E-3</v>
      </c>
      <c r="F22" s="799">
        <v>2.4491224264650509E-2</v>
      </c>
    </row>
    <row r="23" spans="2:14" ht="13.5" thickBot="1">
      <c r="B23" s="1127"/>
      <c r="C23" s="1142" t="s">
        <v>684</v>
      </c>
      <c r="D23" s="1143"/>
      <c r="E23" s="800">
        <v>-1.6298777297765649E-2</v>
      </c>
      <c r="F23" s="801">
        <v>4.8977554446756832E-2</v>
      </c>
    </row>
    <row r="24" spans="2:14" ht="13.5" thickBot="1"/>
    <row r="25" spans="2:14">
      <c r="B25" s="1040" t="s">
        <v>685</v>
      </c>
      <c r="C25" s="1144"/>
      <c r="D25" s="802">
        <f>_xlfn.NORM.DIST(0,E11,E17,1)</f>
        <v>0.29061327883637478</v>
      </c>
      <c r="E25" s="1145" t="s">
        <v>710</v>
      </c>
      <c r="F25" s="1146"/>
      <c r="G25" s="1146"/>
      <c r="H25" s="1146"/>
      <c r="I25" s="1146"/>
      <c r="J25" s="1146"/>
      <c r="K25" s="1146"/>
      <c r="L25" s="1146"/>
      <c r="M25" s="1146"/>
      <c r="N25" s="1147"/>
    </row>
    <row r="26" spans="2:14" ht="13.5" thickBot="1">
      <c r="B26" s="1030" t="s">
        <v>686</v>
      </c>
      <c r="C26" s="1151"/>
      <c r="D26" s="803">
        <f>1-D25</f>
        <v>0.70938672116362522</v>
      </c>
      <c r="E26" s="1148"/>
      <c r="F26" s="1149"/>
      <c r="G26" s="1149"/>
      <c r="H26" s="1149"/>
      <c r="I26" s="1149"/>
      <c r="J26" s="1149"/>
      <c r="K26" s="1149"/>
      <c r="L26" s="1149"/>
      <c r="M26" s="1149"/>
      <c r="N26" s="1150"/>
    </row>
    <row r="53" spans="2:14" s="642" customFormat="1"/>
    <row r="54" spans="2:14" ht="13.5" thickBot="1"/>
    <row r="55" spans="2:14" ht="20.25" customHeight="1" thickBot="1">
      <c r="B55" s="1116" t="s">
        <v>687</v>
      </c>
      <c r="C55" s="1117"/>
      <c r="D55" s="1117"/>
      <c r="E55" s="1117"/>
      <c r="F55" s="1117"/>
      <c r="G55" s="1117"/>
      <c r="H55" s="1117"/>
      <c r="I55" s="1117"/>
      <c r="J55" s="1117"/>
      <c r="K55" s="1117"/>
      <c r="L55" s="1117"/>
      <c r="M55" s="1117"/>
      <c r="N55" s="1118"/>
    </row>
    <row r="86" spans="2:14" ht="13.5" thickBot="1"/>
    <row r="87" spans="2:14" ht="18" customHeight="1" thickBot="1">
      <c r="B87" s="1152" t="s">
        <v>711</v>
      </c>
      <c r="C87" s="1153"/>
      <c r="D87" s="1153"/>
      <c r="E87" s="1153"/>
      <c r="F87" s="1153"/>
      <c r="G87" s="1153"/>
      <c r="H87" s="1153"/>
      <c r="I87" s="1153"/>
      <c r="J87" s="1153"/>
      <c r="K87" s="1153"/>
      <c r="L87" s="1153"/>
      <c r="M87" s="1153"/>
      <c r="N87" s="1154"/>
    </row>
    <row r="89" spans="2:14" ht="15.75" customHeight="1"/>
    <row r="90" spans="2:14" ht="15" customHeight="1" thickBot="1"/>
    <row r="91" spans="2:14" ht="15" customHeight="1">
      <c r="B91" s="1130" t="s">
        <v>688</v>
      </c>
      <c r="C91" s="1133" t="s">
        <v>712</v>
      </c>
      <c r="D91" s="1134"/>
      <c r="E91" s="1134"/>
      <c r="F91" s="1134"/>
      <c r="G91" s="1134"/>
      <c r="H91" s="1134"/>
      <c r="I91" s="1134"/>
      <c r="J91" s="1134"/>
      <c r="K91" s="1134"/>
      <c r="L91" s="1134"/>
      <c r="M91" s="1134"/>
      <c r="N91" s="1135"/>
    </row>
    <row r="92" spans="2:14" ht="15" customHeight="1">
      <c r="B92" s="1131"/>
      <c r="C92" s="1136"/>
      <c r="D92" s="1137"/>
      <c r="E92" s="1137"/>
      <c r="F92" s="1137"/>
      <c r="G92" s="1137"/>
      <c r="H92" s="1137"/>
      <c r="I92" s="1137"/>
      <c r="J92" s="1137"/>
      <c r="K92" s="1137"/>
      <c r="L92" s="1137"/>
      <c r="M92" s="1137"/>
      <c r="N92" s="1138"/>
    </row>
    <row r="93" spans="2:14" ht="15" customHeight="1" thickBot="1">
      <c r="B93" s="1132"/>
      <c r="C93" s="1139"/>
      <c r="D93" s="1140"/>
      <c r="E93" s="1140"/>
      <c r="F93" s="1140"/>
      <c r="G93" s="1140"/>
      <c r="H93" s="1140"/>
      <c r="I93" s="1140"/>
      <c r="J93" s="1140"/>
      <c r="K93" s="1140"/>
      <c r="L93" s="1140"/>
      <c r="M93" s="1140"/>
      <c r="N93" s="1141"/>
    </row>
    <row r="94" spans="2:14" ht="15" customHeight="1"/>
    <row r="95" spans="2:14" ht="15" customHeight="1"/>
    <row r="96" spans="2:14"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sheetData>
  <sheetProtection algorithmName="SHA-512" hashValue="DYSN5Ol6HGV3izvhi2ftXz0YD0hOY3whOAV5P94OACA3pIgvm21LUoCtocicARENfg2x1B05xFqvdyK1mmUt5g==" saltValue="NkPIrnGGRUWBXumZYix7YA==" spinCount="100000" sheet="1" objects="1" scenarios="1"/>
  <mergeCells count="24">
    <mergeCell ref="B91:B93"/>
    <mergeCell ref="C91:N93"/>
    <mergeCell ref="C23:D23"/>
    <mergeCell ref="B25:C25"/>
    <mergeCell ref="E25:N26"/>
    <mergeCell ref="B26:C26"/>
    <mergeCell ref="B55:N55"/>
    <mergeCell ref="B87:N87"/>
    <mergeCell ref="C22:D22"/>
    <mergeCell ref="B2:X5"/>
    <mergeCell ref="B7:F7"/>
    <mergeCell ref="B9:F9"/>
    <mergeCell ref="B10:D10"/>
    <mergeCell ref="B11:B23"/>
    <mergeCell ref="C11:D11"/>
    <mergeCell ref="C12:C13"/>
    <mergeCell ref="C14:D14"/>
    <mergeCell ref="C15:D15"/>
    <mergeCell ref="C16:D16"/>
    <mergeCell ref="C17:D17"/>
    <mergeCell ref="C18:D18"/>
    <mergeCell ref="C19:D19"/>
    <mergeCell ref="C20:D20"/>
    <mergeCell ref="C21:D21"/>
  </mergeCells>
  <pageMargins left="0.7" right="0.7" top="0.75" bottom="0.75" header="0.3" footer="0.3"/>
  <pageSetup paperSize="9" orientation="portrait" horizontalDpi="0"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6302F-5637-F941-BBC2-839A6026FFB4}">
  <sheetPr>
    <tabColor rgb="FF0070C0"/>
  </sheetPr>
  <dimension ref="B1:X93"/>
  <sheetViews>
    <sheetView topLeftCell="A13" zoomScale="80" zoomScaleNormal="80" workbookViewId="0">
      <selection activeCell="P83" sqref="P83"/>
    </sheetView>
  </sheetViews>
  <sheetFormatPr defaultColWidth="8.85546875" defaultRowHeight="12.75"/>
  <cols>
    <col min="1" max="1" width="1.7109375" style="641" customWidth="1"/>
    <col min="2" max="2" width="28.28515625" style="641" customWidth="1"/>
    <col min="3" max="3" width="16.28515625" style="641" customWidth="1"/>
    <col min="4" max="4" width="13.42578125" style="641" customWidth="1"/>
    <col min="5" max="5" width="30.28515625" style="641" customWidth="1"/>
    <col min="6" max="6" width="25.140625" style="641" customWidth="1"/>
    <col min="7" max="256" width="8.85546875" style="641"/>
    <col min="257" max="257" width="1.7109375" style="641" customWidth="1"/>
    <col min="258" max="258" width="28.28515625" style="641" customWidth="1"/>
    <col min="259" max="259" width="16.28515625" style="641" customWidth="1"/>
    <col min="260" max="260" width="13.42578125" style="641" customWidth="1"/>
    <col min="261" max="261" width="21.28515625" style="641" customWidth="1"/>
    <col min="262" max="262" width="25.140625" style="641" customWidth="1"/>
    <col min="263" max="512" width="8.85546875" style="641"/>
    <col min="513" max="513" width="1.7109375" style="641" customWidth="1"/>
    <col min="514" max="514" width="28.28515625" style="641" customWidth="1"/>
    <col min="515" max="515" width="16.28515625" style="641" customWidth="1"/>
    <col min="516" max="516" width="13.42578125" style="641" customWidth="1"/>
    <col min="517" max="517" width="21.28515625" style="641" customWidth="1"/>
    <col min="518" max="518" width="25.140625" style="641" customWidth="1"/>
    <col min="519" max="768" width="8.85546875" style="641"/>
    <col min="769" max="769" width="1.7109375" style="641" customWidth="1"/>
    <col min="770" max="770" width="28.28515625" style="641" customWidth="1"/>
    <col min="771" max="771" width="16.28515625" style="641" customWidth="1"/>
    <col min="772" max="772" width="13.42578125" style="641" customWidth="1"/>
    <col min="773" max="773" width="21.28515625" style="641" customWidth="1"/>
    <col min="774" max="774" width="25.140625" style="641" customWidth="1"/>
    <col min="775" max="1024" width="8.85546875" style="641"/>
    <col min="1025" max="1025" width="1.7109375" style="641" customWidth="1"/>
    <col min="1026" max="1026" width="28.28515625" style="641" customWidth="1"/>
    <col min="1027" max="1027" width="16.28515625" style="641" customWidth="1"/>
    <col min="1028" max="1028" width="13.42578125" style="641" customWidth="1"/>
    <col min="1029" max="1029" width="21.28515625" style="641" customWidth="1"/>
    <col min="1030" max="1030" width="25.140625" style="641" customWidth="1"/>
    <col min="1031" max="1280" width="8.85546875" style="641"/>
    <col min="1281" max="1281" width="1.7109375" style="641" customWidth="1"/>
    <col min="1282" max="1282" width="28.28515625" style="641" customWidth="1"/>
    <col min="1283" max="1283" width="16.28515625" style="641" customWidth="1"/>
    <col min="1284" max="1284" width="13.42578125" style="641" customWidth="1"/>
    <col min="1285" max="1285" width="21.28515625" style="641" customWidth="1"/>
    <col min="1286" max="1286" width="25.140625" style="641" customWidth="1"/>
    <col min="1287" max="1536" width="8.85546875" style="641"/>
    <col min="1537" max="1537" width="1.7109375" style="641" customWidth="1"/>
    <col min="1538" max="1538" width="28.28515625" style="641" customWidth="1"/>
    <col min="1539" max="1539" width="16.28515625" style="641" customWidth="1"/>
    <col min="1540" max="1540" width="13.42578125" style="641" customWidth="1"/>
    <col min="1541" max="1541" width="21.28515625" style="641" customWidth="1"/>
    <col min="1542" max="1542" width="25.140625" style="641" customWidth="1"/>
    <col min="1543" max="1792" width="8.85546875" style="641"/>
    <col min="1793" max="1793" width="1.7109375" style="641" customWidth="1"/>
    <col min="1794" max="1794" width="28.28515625" style="641" customWidth="1"/>
    <col min="1795" max="1795" width="16.28515625" style="641" customWidth="1"/>
    <col min="1796" max="1796" width="13.42578125" style="641" customWidth="1"/>
    <col min="1797" max="1797" width="21.28515625" style="641" customWidth="1"/>
    <col min="1798" max="1798" width="25.140625" style="641" customWidth="1"/>
    <col min="1799" max="2048" width="8.85546875" style="641"/>
    <col min="2049" max="2049" width="1.7109375" style="641" customWidth="1"/>
    <col min="2050" max="2050" width="28.28515625" style="641" customWidth="1"/>
    <col min="2051" max="2051" width="16.28515625" style="641" customWidth="1"/>
    <col min="2052" max="2052" width="13.42578125" style="641" customWidth="1"/>
    <col min="2053" max="2053" width="21.28515625" style="641" customWidth="1"/>
    <col min="2054" max="2054" width="25.140625" style="641" customWidth="1"/>
    <col min="2055" max="2304" width="8.85546875" style="641"/>
    <col min="2305" max="2305" width="1.7109375" style="641" customWidth="1"/>
    <col min="2306" max="2306" width="28.28515625" style="641" customWidth="1"/>
    <col min="2307" max="2307" width="16.28515625" style="641" customWidth="1"/>
    <col min="2308" max="2308" width="13.42578125" style="641" customWidth="1"/>
    <col min="2309" max="2309" width="21.28515625" style="641" customWidth="1"/>
    <col min="2310" max="2310" width="25.140625" style="641" customWidth="1"/>
    <col min="2311" max="2560" width="8.85546875" style="641"/>
    <col min="2561" max="2561" width="1.7109375" style="641" customWidth="1"/>
    <col min="2562" max="2562" width="28.28515625" style="641" customWidth="1"/>
    <col min="2563" max="2563" width="16.28515625" style="641" customWidth="1"/>
    <col min="2564" max="2564" width="13.42578125" style="641" customWidth="1"/>
    <col min="2565" max="2565" width="21.28515625" style="641" customWidth="1"/>
    <col min="2566" max="2566" width="25.140625" style="641" customWidth="1"/>
    <col min="2567" max="2816" width="8.85546875" style="641"/>
    <col min="2817" max="2817" width="1.7109375" style="641" customWidth="1"/>
    <col min="2818" max="2818" width="28.28515625" style="641" customWidth="1"/>
    <col min="2819" max="2819" width="16.28515625" style="641" customWidth="1"/>
    <col min="2820" max="2820" width="13.42578125" style="641" customWidth="1"/>
    <col min="2821" max="2821" width="21.28515625" style="641" customWidth="1"/>
    <col min="2822" max="2822" width="25.140625" style="641" customWidth="1"/>
    <col min="2823" max="3072" width="8.85546875" style="641"/>
    <col min="3073" max="3073" width="1.7109375" style="641" customWidth="1"/>
    <col min="3074" max="3074" width="28.28515625" style="641" customWidth="1"/>
    <col min="3075" max="3075" width="16.28515625" style="641" customWidth="1"/>
    <col min="3076" max="3076" width="13.42578125" style="641" customWidth="1"/>
    <col min="3077" max="3077" width="21.28515625" style="641" customWidth="1"/>
    <col min="3078" max="3078" width="25.140625" style="641" customWidth="1"/>
    <col min="3079" max="3328" width="8.85546875" style="641"/>
    <col min="3329" max="3329" width="1.7109375" style="641" customWidth="1"/>
    <col min="3330" max="3330" width="28.28515625" style="641" customWidth="1"/>
    <col min="3331" max="3331" width="16.28515625" style="641" customWidth="1"/>
    <col min="3332" max="3332" width="13.42578125" style="641" customWidth="1"/>
    <col min="3333" max="3333" width="21.28515625" style="641" customWidth="1"/>
    <col min="3334" max="3334" width="25.140625" style="641" customWidth="1"/>
    <col min="3335" max="3584" width="8.85546875" style="641"/>
    <col min="3585" max="3585" width="1.7109375" style="641" customWidth="1"/>
    <col min="3586" max="3586" width="28.28515625" style="641" customWidth="1"/>
    <col min="3587" max="3587" width="16.28515625" style="641" customWidth="1"/>
    <col min="3588" max="3588" width="13.42578125" style="641" customWidth="1"/>
    <col min="3589" max="3589" width="21.28515625" style="641" customWidth="1"/>
    <col min="3590" max="3590" width="25.140625" style="641" customWidth="1"/>
    <col min="3591" max="3840" width="8.85546875" style="641"/>
    <col min="3841" max="3841" width="1.7109375" style="641" customWidth="1"/>
    <col min="3842" max="3842" width="28.28515625" style="641" customWidth="1"/>
    <col min="3843" max="3843" width="16.28515625" style="641" customWidth="1"/>
    <col min="3844" max="3844" width="13.42578125" style="641" customWidth="1"/>
    <col min="3845" max="3845" width="21.28515625" style="641" customWidth="1"/>
    <col min="3846" max="3846" width="25.140625" style="641" customWidth="1"/>
    <col min="3847" max="4096" width="8.85546875" style="641"/>
    <col min="4097" max="4097" width="1.7109375" style="641" customWidth="1"/>
    <col min="4098" max="4098" width="28.28515625" style="641" customWidth="1"/>
    <col min="4099" max="4099" width="16.28515625" style="641" customWidth="1"/>
    <col min="4100" max="4100" width="13.42578125" style="641" customWidth="1"/>
    <col min="4101" max="4101" width="21.28515625" style="641" customWidth="1"/>
    <col min="4102" max="4102" width="25.140625" style="641" customWidth="1"/>
    <col min="4103" max="4352" width="8.85546875" style="641"/>
    <col min="4353" max="4353" width="1.7109375" style="641" customWidth="1"/>
    <col min="4354" max="4354" width="28.28515625" style="641" customWidth="1"/>
    <col min="4355" max="4355" width="16.28515625" style="641" customWidth="1"/>
    <col min="4356" max="4356" width="13.42578125" style="641" customWidth="1"/>
    <col min="4357" max="4357" width="21.28515625" style="641" customWidth="1"/>
    <col min="4358" max="4358" width="25.140625" style="641" customWidth="1"/>
    <col min="4359" max="4608" width="8.85546875" style="641"/>
    <col min="4609" max="4609" width="1.7109375" style="641" customWidth="1"/>
    <col min="4610" max="4610" width="28.28515625" style="641" customWidth="1"/>
    <col min="4611" max="4611" width="16.28515625" style="641" customWidth="1"/>
    <col min="4612" max="4612" width="13.42578125" style="641" customWidth="1"/>
    <col min="4613" max="4613" width="21.28515625" style="641" customWidth="1"/>
    <col min="4614" max="4614" width="25.140625" style="641" customWidth="1"/>
    <col min="4615" max="4864" width="8.85546875" style="641"/>
    <col min="4865" max="4865" width="1.7109375" style="641" customWidth="1"/>
    <col min="4866" max="4866" width="28.28515625" style="641" customWidth="1"/>
    <col min="4867" max="4867" width="16.28515625" style="641" customWidth="1"/>
    <col min="4868" max="4868" width="13.42578125" style="641" customWidth="1"/>
    <col min="4869" max="4869" width="21.28515625" style="641" customWidth="1"/>
    <col min="4870" max="4870" width="25.140625" style="641" customWidth="1"/>
    <col min="4871" max="5120" width="8.85546875" style="641"/>
    <col min="5121" max="5121" width="1.7109375" style="641" customWidth="1"/>
    <col min="5122" max="5122" width="28.28515625" style="641" customWidth="1"/>
    <col min="5123" max="5123" width="16.28515625" style="641" customWidth="1"/>
    <col min="5124" max="5124" width="13.42578125" style="641" customWidth="1"/>
    <col min="5125" max="5125" width="21.28515625" style="641" customWidth="1"/>
    <col min="5126" max="5126" width="25.140625" style="641" customWidth="1"/>
    <col min="5127" max="5376" width="8.85546875" style="641"/>
    <col min="5377" max="5377" width="1.7109375" style="641" customWidth="1"/>
    <col min="5378" max="5378" width="28.28515625" style="641" customWidth="1"/>
    <col min="5379" max="5379" width="16.28515625" style="641" customWidth="1"/>
    <col min="5380" max="5380" width="13.42578125" style="641" customWidth="1"/>
    <col min="5381" max="5381" width="21.28515625" style="641" customWidth="1"/>
    <col min="5382" max="5382" width="25.140625" style="641" customWidth="1"/>
    <col min="5383" max="5632" width="8.85546875" style="641"/>
    <col min="5633" max="5633" width="1.7109375" style="641" customWidth="1"/>
    <col min="5634" max="5634" width="28.28515625" style="641" customWidth="1"/>
    <col min="5635" max="5635" width="16.28515625" style="641" customWidth="1"/>
    <col min="5636" max="5636" width="13.42578125" style="641" customWidth="1"/>
    <col min="5637" max="5637" width="21.28515625" style="641" customWidth="1"/>
    <col min="5638" max="5638" width="25.140625" style="641" customWidth="1"/>
    <col min="5639" max="5888" width="8.85546875" style="641"/>
    <col min="5889" max="5889" width="1.7109375" style="641" customWidth="1"/>
    <col min="5890" max="5890" width="28.28515625" style="641" customWidth="1"/>
    <col min="5891" max="5891" width="16.28515625" style="641" customWidth="1"/>
    <col min="5892" max="5892" width="13.42578125" style="641" customWidth="1"/>
    <col min="5893" max="5893" width="21.28515625" style="641" customWidth="1"/>
    <col min="5894" max="5894" width="25.140625" style="641" customWidth="1"/>
    <col min="5895" max="6144" width="8.85546875" style="641"/>
    <col min="6145" max="6145" width="1.7109375" style="641" customWidth="1"/>
    <col min="6146" max="6146" width="28.28515625" style="641" customWidth="1"/>
    <col min="6147" max="6147" width="16.28515625" style="641" customWidth="1"/>
    <col min="6148" max="6148" width="13.42578125" style="641" customWidth="1"/>
    <col min="6149" max="6149" width="21.28515625" style="641" customWidth="1"/>
    <col min="6150" max="6150" width="25.140625" style="641" customWidth="1"/>
    <col min="6151" max="6400" width="8.85546875" style="641"/>
    <col min="6401" max="6401" width="1.7109375" style="641" customWidth="1"/>
    <col min="6402" max="6402" width="28.28515625" style="641" customWidth="1"/>
    <col min="6403" max="6403" width="16.28515625" style="641" customWidth="1"/>
    <col min="6404" max="6404" width="13.42578125" style="641" customWidth="1"/>
    <col min="6405" max="6405" width="21.28515625" style="641" customWidth="1"/>
    <col min="6406" max="6406" width="25.140625" style="641" customWidth="1"/>
    <col min="6407" max="6656" width="8.85546875" style="641"/>
    <col min="6657" max="6657" width="1.7109375" style="641" customWidth="1"/>
    <col min="6658" max="6658" width="28.28515625" style="641" customWidth="1"/>
    <col min="6659" max="6659" width="16.28515625" style="641" customWidth="1"/>
    <col min="6660" max="6660" width="13.42578125" style="641" customWidth="1"/>
    <col min="6661" max="6661" width="21.28515625" style="641" customWidth="1"/>
    <col min="6662" max="6662" width="25.140625" style="641" customWidth="1"/>
    <col min="6663" max="6912" width="8.85546875" style="641"/>
    <col min="6913" max="6913" width="1.7109375" style="641" customWidth="1"/>
    <col min="6914" max="6914" width="28.28515625" style="641" customWidth="1"/>
    <col min="6915" max="6915" width="16.28515625" style="641" customWidth="1"/>
    <col min="6916" max="6916" width="13.42578125" style="641" customWidth="1"/>
    <col min="6917" max="6917" width="21.28515625" style="641" customWidth="1"/>
    <col min="6918" max="6918" width="25.140625" style="641" customWidth="1"/>
    <col min="6919" max="7168" width="8.85546875" style="641"/>
    <col min="7169" max="7169" width="1.7109375" style="641" customWidth="1"/>
    <col min="7170" max="7170" width="28.28515625" style="641" customWidth="1"/>
    <col min="7171" max="7171" width="16.28515625" style="641" customWidth="1"/>
    <col min="7172" max="7172" width="13.42578125" style="641" customWidth="1"/>
    <col min="7173" max="7173" width="21.28515625" style="641" customWidth="1"/>
    <col min="7174" max="7174" width="25.140625" style="641" customWidth="1"/>
    <col min="7175" max="7424" width="8.85546875" style="641"/>
    <col min="7425" max="7425" width="1.7109375" style="641" customWidth="1"/>
    <col min="7426" max="7426" width="28.28515625" style="641" customWidth="1"/>
    <col min="7427" max="7427" width="16.28515625" style="641" customWidth="1"/>
    <col min="7428" max="7428" width="13.42578125" style="641" customWidth="1"/>
    <col min="7429" max="7429" width="21.28515625" style="641" customWidth="1"/>
    <col min="7430" max="7430" width="25.140625" style="641" customWidth="1"/>
    <col min="7431" max="7680" width="8.85546875" style="641"/>
    <col min="7681" max="7681" width="1.7109375" style="641" customWidth="1"/>
    <col min="7682" max="7682" width="28.28515625" style="641" customWidth="1"/>
    <col min="7683" max="7683" width="16.28515625" style="641" customWidth="1"/>
    <col min="7684" max="7684" width="13.42578125" style="641" customWidth="1"/>
    <col min="7685" max="7685" width="21.28515625" style="641" customWidth="1"/>
    <col min="7686" max="7686" width="25.140625" style="641" customWidth="1"/>
    <col min="7687" max="7936" width="8.85546875" style="641"/>
    <col min="7937" max="7937" width="1.7109375" style="641" customWidth="1"/>
    <col min="7938" max="7938" width="28.28515625" style="641" customWidth="1"/>
    <col min="7939" max="7939" width="16.28515625" style="641" customWidth="1"/>
    <col min="7940" max="7940" width="13.42578125" style="641" customWidth="1"/>
    <col min="7941" max="7941" width="21.28515625" style="641" customWidth="1"/>
    <col min="7942" max="7942" width="25.140625" style="641" customWidth="1"/>
    <col min="7943" max="8192" width="8.85546875" style="641"/>
    <col min="8193" max="8193" width="1.7109375" style="641" customWidth="1"/>
    <col min="8194" max="8194" width="28.28515625" style="641" customWidth="1"/>
    <col min="8195" max="8195" width="16.28515625" style="641" customWidth="1"/>
    <col min="8196" max="8196" width="13.42578125" style="641" customWidth="1"/>
    <col min="8197" max="8197" width="21.28515625" style="641" customWidth="1"/>
    <col min="8198" max="8198" width="25.140625" style="641" customWidth="1"/>
    <col min="8199" max="8448" width="8.85546875" style="641"/>
    <col min="8449" max="8449" width="1.7109375" style="641" customWidth="1"/>
    <col min="8450" max="8450" width="28.28515625" style="641" customWidth="1"/>
    <col min="8451" max="8451" width="16.28515625" style="641" customWidth="1"/>
    <col min="8452" max="8452" width="13.42578125" style="641" customWidth="1"/>
    <col min="8453" max="8453" width="21.28515625" style="641" customWidth="1"/>
    <col min="8454" max="8454" width="25.140625" style="641" customWidth="1"/>
    <col min="8455" max="8704" width="8.85546875" style="641"/>
    <col min="8705" max="8705" width="1.7109375" style="641" customWidth="1"/>
    <col min="8706" max="8706" width="28.28515625" style="641" customWidth="1"/>
    <col min="8707" max="8707" width="16.28515625" style="641" customWidth="1"/>
    <col min="8708" max="8708" width="13.42578125" style="641" customWidth="1"/>
    <col min="8709" max="8709" width="21.28515625" style="641" customWidth="1"/>
    <col min="8710" max="8710" width="25.140625" style="641" customWidth="1"/>
    <col min="8711" max="8960" width="8.85546875" style="641"/>
    <col min="8961" max="8961" width="1.7109375" style="641" customWidth="1"/>
    <col min="8962" max="8962" width="28.28515625" style="641" customWidth="1"/>
    <col min="8963" max="8963" width="16.28515625" style="641" customWidth="1"/>
    <col min="8964" max="8964" width="13.42578125" style="641" customWidth="1"/>
    <col min="8965" max="8965" width="21.28515625" style="641" customWidth="1"/>
    <col min="8966" max="8966" width="25.140625" style="641" customWidth="1"/>
    <col min="8967" max="9216" width="8.85546875" style="641"/>
    <col min="9217" max="9217" width="1.7109375" style="641" customWidth="1"/>
    <col min="9218" max="9218" width="28.28515625" style="641" customWidth="1"/>
    <col min="9219" max="9219" width="16.28515625" style="641" customWidth="1"/>
    <col min="9220" max="9220" width="13.42578125" style="641" customWidth="1"/>
    <col min="9221" max="9221" width="21.28515625" style="641" customWidth="1"/>
    <col min="9222" max="9222" width="25.140625" style="641" customWidth="1"/>
    <col min="9223" max="9472" width="8.85546875" style="641"/>
    <col min="9473" max="9473" width="1.7109375" style="641" customWidth="1"/>
    <col min="9474" max="9474" width="28.28515625" style="641" customWidth="1"/>
    <col min="9475" max="9475" width="16.28515625" style="641" customWidth="1"/>
    <col min="9476" max="9476" width="13.42578125" style="641" customWidth="1"/>
    <col min="9477" max="9477" width="21.28515625" style="641" customWidth="1"/>
    <col min="9478" max="9478" width="25.140625" style="641" customWidth="1"/>
    <col min="9479" max="9728" width="8.85546875" style="641"/>
    <col min="9729" max="9729" width="1.7109375" style="641" customWidth="1"/>
    <col min="9730" max="9730" width="28.28515625" style="641" customWidth="1"/>
    <col min="9731" max="9731" width="16.28515625" style="641" customWidth="1"/>
    <col min="9732" max="9732" width="13.42578125" style="641" customWidth="1"/>
    <col min="9733" max="9733" width="21.28515625" style="641" customWidth="1"/>
    <col min="9734" max="9734" width="25.140625" style="641" customWidth="1"/>
    <col min="9735" max="9984" width="8.85546875" style="641"/>
    <col min="9985" max="9985" width="1.7109375" style="641" customWidth="1"/>
    <col min="9986" max="9986" width="28.28515625" style="641" customWidth="1"/>
    <col min="9987" max="9987" width="16.28515625" style="641" customWidth="1"/>
    <col min="9988" max="9988" width="13.42578125" style="641" customWidth="1"/>
    <col min="9989" max="9989" width="21.28515625" style="641" customWidth="1"/>
    <col min="9990" max="9990" width="25.140625" style="641" customWidth="1"/>
    <col min="9991" max="10240" width="8.85546875" style="641"/>
    <col min="10241" max="10241" width="1.7109375" style="641" customWidth="1"/>
    <col min="10242" max="10242" width="28.28515625" style="641" customWidth="1"/>
    <col min="10243" max="10243" width="16.28515625" style="641" customWidth="1"/>
    <col min="10244" max="10244" width="13.42578125" style="641" customWidth="1"/>
    <col min="10245" max="10245" width="21.28515625" style="641" customWidth="1"/>
    <col min="10246" max="10246" width="25.140625" style="641" customWidth="1"/>
    <col min="10247" max="10496" width="8.85546875" style="641"/>
    <col min="10497" max="10497" width="1.7109375" style="641" customWidth="1"/>
    <col min="10498" max="10498" width="28.28515625" style="641" customWidth="1"/>
    <col min="10499" max="10499" width="16.28515625" style="641" customWidth="1"/>
    <col min="10500" max="10500" width="13.42578125" style="641" customWidth="1"/>
    <col min="10501" max="10501" width="21.28515625" style="641" customWidth="1"/>
    <col min="10502" max="10502" width="25.140625" style="641" customWidth="1"/>
    <col min="10503" max="10752" width="8.85546875" style="641"/>
    <col min="10753" max="10753" width="1.7109375" style="641" customWidth="1"/>
    <col min="10754" max="10754" width="28.28515625" style="641" customWidth="1"/>
    <col min="10755" max="10755" width="16.28515625" style="641" customWidth="1"/>
    <col min="10756" max="10756" width="13.42578125" style="641" customWidth="1"/>
    <col min="10757" max="10757" width="21.28515625" style="641" customWidth="1"/>
    <col min="10758" max="10758" width="25.140625" style="641" customWidth="1"/>
    <col min="10759" max="11008" width="8.85546875" style="641"/>
    <col min="11009" max="11009" width="1.7109375" style="641" customWidth="1"/>
    <col min="11010" max="11010" width="28.28515625" style="641" customWidth="1"/>
    <col min="11011" max="11011" width="16.28515625" style="641" customWidth="1"/>
    <col min="11012" max="11012" width="13.42578125" style="641" customWidth="1"/>
    <col min="11013" max="11013" width="21.28515625" style="641" customWidth="1"/>
    <col min="11014" max="11014" width="25.140625" style="641" customWidth="1"/>
    <col min="11015" max="11264" width="8.85546875" style="641"/>
    <col min="11265" max="11265" width="1.7109375" style="641" customWidth="1"/>
    <col min="11266" max="11266" width="28.28515625" style="641" customWidth="1"/>
    <col min="11267" max="11267" width="16.28515625" style="641" customWidth="1"/>
    <col min="11268" max="11268" width="13.42578125" style="641" customWidth="1"/>
    <col min="11269" max="11269" width="21.28515625" style="641" customWidth="1"/>
    <col min="11270" max="11270" width="25.140625" style="641" customWidth="1"/>
    <col min="11271" max="11520" width="8.85546875" style="641"/>
    <col min="11521" max="11521" width="1.7109375" style="641" customWidth="1"/>
    <col min="11522" max="11522" width="28.28515625" style="641" customWidth="1"/>
    <col min="11523" max="11523" width="16.28515625" style="641" customWidth="1"/>
    <col min="11524" max="11524" width="13.42578125" style="641" customWidth="1"/>
    <col min="11525" max="11525" width="21.28515625" style="641" customWidth="1"/>
    <col min="11526" max="11526" width="25.140625" style="641" customWidth="1"/>
    <col min="11527" max="11776" width="8.85546875" style="641"/>
    <col min="11777" max="11777" width="1.7109375" style="641" customWidth="1"/>
    <col min="11778" max="11778" width="28.28515625" style="641" customWidth="1"/>
    <col min="11779" max="11779" width="16.28515625" style="641" customWidth="1"/>
    <col min="11780" max="11780" width="13.42578125" style="641" customWidth="1"/>
    <col min="11781" max="11781" width="21.28515625" style="641" customWidth="1"/>
    <col min="11782" max="11782" width="25.140625" style="641" customWidth="1"/>
    <col min="11783" max="12032" width="8.85546875" style="641"/>
    <col min="12033" max="12033" width="1.7109375" style="641" customWidth="1"/>
    <col min="12034" max="12034" width="28.28515625" style="641" customWidth="1"/>
    <col min="12035" max="12035" width="16.28515625" style="641" customWidth="1"/>
    <col min="12036" max="12036" width="13.42578125" style="641" customWidth="1"/>
    <col min="12037" max="12037" width="21.28515625" style="641" customWidth="1"/>
    <col min="12038" max="12038" width="25.140625" style="641" customWidth="1"/>
    <col min="12039" max="12288" width="8.85546875" style="641"/>
    <col min="12289" max="12289" width="1.7109375" style="641" customWidth="1"/>
    <col min="12290" max="12290" width="28.28515625" style="641" customWidth="1"/>
    <col min="12291" max="12291" width="16.28515625" style="641" customWidth="1"/>
    <col min="12292" max="12292" width="13.42578125" style="641" customWidth="1"/>
    <col min="12293" max="12293" width="21.28515625" style="641" customWidth="1"/>
    <col min="12294" max="12294" width="25.140625" style="641" customWidth="1"/>
    <col min="12295" max="12544" width="8.85546875" style="641"/>
    <col min="12545" max="12545" width="1.7109375" style="641" customWidth="1"/>
    <col min="12546" max="12546" width="28.28515625" style="641" customWidth="1"/>
    <col min="12547" max="12547" width="16.28515625" style="641" customWidth="1"/>
    <col min="12548" max="12548" width="13.42578125" style="641" customWidth="1"/>
    <col min="12549" max="12549" width="21.28515625" style="641" customWidth="1"/>
    <col min="12550" max="12550" width="25.140625" style="641" customWidth="1"/>
    <col min="12551" max="12800" width="8.85546875" style="641"/>
    <col min="12801" max="12801" width="1.7109375" style="641" customWidth="1"/>
    <col min="12802" max="12802" width="28.28515625" style="641" customWidth="1"/>
    <col min="12803" max="12803" width="16.28515625" style="641" customWidth="1"/>
    <col min="12804" max="12804" width="13.42578125" style="641" customWidth="1"/>
    <col min="12805" max="12805" width="21.28515625" style="641" customWidth="1"/>
    <col min="12806" max="12806" width="25.140625" style="641" customWidth="1"/>
    <col min="12807" max="13056" width="8.85546875" style="641"/>
    <col min="13057" max="13057" width="1.7109375" style="641" customWidth="1"/>
    <col min="13058" max="13058" width="28.28515625" style="641" customWidth="1"/>
    <col min="13059" max="13059" width="16.28515625" style="641" customWidth="1"/>
    <col min="13060" max="13060" width="13.42578125" style="641" customWidth="1"/>
    <col min="13061" max="13061" width="21.28515625" style="641" customWidth="1"/>
    <col min="13062" max="13062" width="25.140625" style="641" customWidth="1"/>
    <col min="13063" max="13312" width="8.85546875" style="641"/>
    <col min="13313" max="13313" width="1.7109375" style="641" customWidth="1"/>
    <col min="13314" max="13314" width="28.28515625" style="641" customWidth="1"/>
    <col min="13315" max="13315" width="16.28515625" style="641" customWidth="1"/>
    <col min="13316" max="13316" width="13.42578125" style="641" customWidth="1"/>
    <col min="13317" max="13317" width="21.28515625" style="641" customWidth="1"/>
    <col min="13318" max="13318" width="25.140625" style="641" customWidth="1"/>
    <col min="13319" max="13568" width="8.85546875" style="641"/>
    <col min="13569" max="13569" width="1.7109375" style="641" customWidth="1"/>
    <col min="13570" max="13570" width="28.28515625" style="641" customWidth="1"/>
    <col min="13571" max="13571" width="16.28515625" style="641" customWidth="1"/>
    <col min="13572" max="13572" width="13.42578125" style="641" customWidth="1"/>
    <col min="13573" max="13573" width="21.28515625" style="641" customWidth="1"/>
    <col min="13574" max="13574" width="25.140625" style="641" customWidth="1"/>
    <col min="13575" max="13824" width="8.85546875" style="641"/>
    <col min="13825" max="13825" width="1.7109375" style="641" customWidth="1"/>
    <col min="13826" max="13826" width="28.28515625" style="641" customWidth="1"/>
    <col min="13827" max="13827" width="16.28515625" style="641" customWidth="1"/>
    <col min="13828" max="13828" width="13.42578125" style="641" customWidth="1"/>
    <col min="13829" max="13829" width="21.28515625" style="641" customWidth="1"/>
    <col min="13830" max="13830" width="25.140625" style="641" customWidth="1"/>
    <col min="13831" max="14080" width="8.85546875" style="641"/>
    <col min="14081" max="14081" width="1.7109375" style="641" customWidth="1"/>
    <col min="14082" max="14082" width="28.28515625" style="641" customWidth="1"/>
    <col min="14083" max="14083" width="16.28515625" style="641" customWidth="1"/>
    <col min="14084" max="14084" width="13.42578125" style="641" customWidth="1"/>
    <col min="14085" max="14085" width="21.28515625" style="641" customWidth="1"/>
    <col min="14086" max="14086" width="25.140625" style="641" customWidth="1"/>
    <col min="14087" max="14336" width="8.85546875" style="641"/>
    <col min="14337" max="14337" width="1.7109375" style="641" customWidth="1"/>
    <col min="14338" max="14338" width="28.28515625" style="641" customWidth="1"/>
    <col min="14339" max="14339" width="16.28515625" style="641" customWidth="1"/>
    <col min="14340" max="14340" width="13.42578125" style="641" customWidth="1"/>
    <col min="14341" max="14341" width="21.28515625" style="641" customWidth="1"/>
    <col min="14342" max="14342" width="25.140625" style="641" customWidth="1"/>
    <col min="14343" max="14592" width="8.85546875" style="641"/>
    <col min="14593" max="14593" width="1.7109375" style="641" customWidth="1"/>
    <col min="14594" max="14594" width="28.28515625" style="641" customWidth="1"/>
    <col min="14595" max="14595" width="16.28515625" style="641" customWidth="1"/>
    <col min="14596" max="14596" width="13.42578125" style="641" customWidth="1"/>
    <col min="14597" max="14597" width="21.28515625" style="641" customWidth="1"/>
    <col min="14598" max="14598" width="25.140625" style="641" customWidth="1"/>
    <col min="14599" max="14848" width="8.85546875" style="641"/>
    <col min="14849" max="14849" width="1.7109375" style="641" customWidth="1"/>
    <col min="14850" max="14850" width="28.28515625" style="641" customWidth="1"/>
    <col min="14851" max="14851" width="16.28515625" style="641" customWidth="1"/>
    <col min="14852" max="14852" width="13.42578125" style="641" customWidth="1"/>
    <col min="14853" max="14853" width="21.28515625" style="641" customWidth="1"/>
    <col min="14854" max="14854" width="25.140625" style="641" customWidth="1"/>
    <col min="14855" max="15104" width="8.85546875" style="641"/>
    <col min="15105" max="15105" width="1.7109375" style="641" customWidth="1"/>
    <col min="15106" max="15106" width="28.28515625" style="641" customWidth="1"/>
    <col min="15107" max="15107" width="16.28515625" style="641" customWidth="1"/>
    <col min="15108" max="15108" width="13.42578125" style="641" customWidth="1"/>
    <col min="15109" max="15109" width="21.28515625" style="641" customWidth="1"/>
    <col min="15110" max="15110" width="25.140625" style="641" customWidth="1"/>
    <col min="15111" max="15360" width="8.85546875" style="641"/>
    <col min="15361" max="15361" width="1.7109375" style="641" customWidth="1"/>
    <col min="15362" max="15362" width="28.28515625" style="641" customWidth="1"/>
    <col min="15363" max="15363" width="16.28515625" style="641" customWidth="1"/>
    <col min="15364" max="15364" width="13.42578125" style="641" customWidth="1"/>
    <col min="15365" max="15365" width="21.28515625" style="641" customWidth="1"/>
    <col min="15366" max="15366" width="25.140625" style="641" customWidth="1"/>
    <col min="15367" max="15616" width="8.85546875" style="641"/>
    <col min="15617" max="15617" width="1.7109375" style="641" customWidth="1"/>
    <col min="15618" max="15618" width="28.28515625" style="641" customWidth="1"/>
    <col min="15619" max="15619" width="16.28515625" style="641" customWidth="1"/>
    <col min="15620" max="15620" width="13.42578125" style="641" customWidth="1"/>
    <col min="15621" max="15621" width="21.28515625" style="641" customWidth="1"/>
    <col min="15622" max="15622" width="25.140625" style="641" customWidth="1"/>
    <col min="15623" max="15872" width="8.85546875" style="641"/>
    <col min="15873" max="15873" width="1.7109375" style="641" customWidth="1"/>
    <col min="15874" max="15874" width="28.28515625" style="641" customWidth="1"/>
    <col min="15875" max="15875" width="16.28515625" style="641" customWidth="1"/>
    <col min="15876" max="15876" width="13.42578125" style="641" customWidth="1"/>
    <col min="15877" max="15877" width="21.28515625" style="641" customWidth="1"/>
    <col min="15878" max="15878" width="25.140625" style="641" customWidth="1"/>
    <col min="15879" max="16128" width="8.85546875" style="641"/>
    <col min="16129" max="16129" width="1.7109375" style="641" customWidth="1"/>
    <col min="16130" max="16130" width="28.28515625" style="641" customWidth="1"/>
    <col min="16131" max="16131" width="16.28515625" style="641" customWidth="1"/>
    <col min="16132" max="16132" width="13.42578125" style="641" customWidth="1"/>
    <col min="16133" max="16133" width="21.28515625" style="641" customWidth="1"/>
    <col min="16134" max="16134" width="25.140625" style="641" customWidth="1"/>
    <col min="16135" max="16384" width="8.85546875" style="641"/>
  </cols>
  <sheetData>
    <row r="1" spans="2:24" ht="7.5" customHeight="1" thickBot="1"/>
    <row r="2" spans="2:24">
      <c r="B2" s="953" t="s">
        <v>692</v>
      </c>
      <c r="C2" s="954"/>
      <c r="D2" s="954"/>
      <c r="E2" s="954"/>
      <c r="F2" s="954"/>
      <c r="G2" s="954"/>
      <c r="H2" s="954"/>
      <c r="I2" s="954"/>
      <c r="J2" s="954"/>
      <c r="K2" s="954"/>
      <c r="L2" s="954"/>
      <c r="M2" s="954"/>
      <c r="N2" s="954"/>
      <c r="O2" s="954"/>
      <c r="P2" s="954"/>
      <c r="Q2" s="954"/>
      <c r="R2" s="954"/>
      <c r="S2" s="954"/>
      <c r="T2" s="954"/>
      <c r="U2" s="954"/>
      <c r="V2" s="954"/>
      <c r="W2" s="954"/>
      <c r="X2" s="955"/>
    </row>
    <row r="3" spans="2:24">
      <c r="B3" s="956"/>
      <c r="C3" s="957"/>
      <c r="D3" s="957"/>
      <c r="E3" s="957"/>
      <c r="F3" s="957"/>
      <c r="G3" s="957"/>
      <c r="H3" s="957"/>
      <c r="I3" s="957"/>
      <c r="J3" s="957"/>
      <c r="K3" s="957"/>
      <c r="L3" s="957"/>
      <c r="M3" s="957"/>
      <c r="N3" s="957"/>
      <c r="O3" s="957"/>
      <c r="P3" s="957"/>
      <c r="Q3" s="957"/>
      <c r="R3" s="957"/>
      <c r="S3" s="957"/>
      <c r="T3" s="957"/>
      <c r="U3" s="957"/>
      <c r="V3" s="957"/>
      <c r="W3" s="957"/>
      <c r="X3" s="958"/>
    </row>
    <row r="4" spans="2:24">
      <c r="B4" s="956"/>
      <c r="C4" s="957"/>
      <c r="D4" s="957"/>
      <c r="E4" s="957"/>
      <c r="F4" s="957"/>
      <c r="G4" s="957"/>
      <c r="H4" s="957"/>
      <c r="I4" s="957"/>
      <c r="J4" s="957"/>
      <c r="K4" s="957"/>
      <c r="L4" s="957"/>
      <c r="M4" s="957"/>
      <c r="N4" s="957"/>
      <c r="O4" s="957"/>
      <c r="P4" s="957"/>
      <c r="Q4" s="957"/>
      <c r="R4" s="957"/>
      <c r="S4" s="957"/>
      <c r="T4" s="957"/>
      <c r="U4" s="957"/>
      <c r="V4" s="957"/>
      <c r="W4" s="957"/>
      <c r="X4" s="958"/>
    </row>
    <row r="5" spans="2:24" ht="13.5" thickBot="1">
      <c r="B5" s="959"/>
      <c r="C5" s="960"/>
      <c r="D5" s="960"/>
      <c r="E5" s="960"/>
      <c r="F5" s="960"/>
      <c r="G5" s="960"/>
      <c r="H5" s="960"/>
      <c r="I5" s="960"/>
      <c r="J5" s="960"/>
      <c r="K5" s="960"/>
      <c r="L5" s="960"/>
      <c r="M5" s="960"/>
      <c r="N5" s="960"/>
      <c r="O5" s="960"/>
      <c r="P5" s="960"/>
      <c r="Q5" s="960"/>
      <c r="R5" s="960"/>
      <c r="S5" s="960"/>
      <c r="T5" s="960"/>
      <c r="U5" s="960"/>
      <c r="V5" s="960"/>
      <c r="W5" s="960"/>
      <c r="X5" s="961"/>
    </row>
    <row r="6" spans="2:24" ht="6" customHeight="1" thickBot="1"/>
    <row r="7" spans="2:24" ht="20.25" customHeight="1" thickBot="1">
      <c r="B7" s="1116" t="s">
        <v>666</v>
      </c>
      <c r="C7" s="1117"/>
      <c r="D7" s="1117"/>
      <c r="E7" s="1117"/>
      <c r="F7" s="1118"/>
    </row>
    <row r="8" spans="2:24" ht="6" customHeight="1" thickBot="1"/>
    <row r="9" spans="2:24" ht="13.5" thickBot="1">
      <c r="B9" s="1157" t="s">
        <v>667</v>
      </c>
      <c r="C9" s="1158"/>
      <c r="D9" s="1158"/>
      <c r="E9" s="1158"/>
      <c r="F9" s="1159"/>
    </row>
    <row r="10" spans="2:24" ht="13.5" thickBot="1">
      <c r="B10" s="1160" t="s">
        <v>668</v>
      </c>
      <c r="C10" s="1161"/>
      <c r="D10" s="1162"/>
      <c r="E10" s="804" t="s">
        <v>669</v>
      </c>
      <c r="F10" s="805" t="s">
        <v>670</v>
      </c>
    </row>
    <row r="11" spans="2:24">
      <c r="B11" s="1163" t="s">
        <v>575</v>
      </c>
      <c r="C11" s="1166" t="s">
        <v>671</v>
      </c>
      <c r="D11" s="1167"/>
      <c r="E11" s="806">
        <v>52350594.896067709</v>
      </c>
      <c r="F11" s="807">
        <v>5131166.4983855095</v>
      </c>
    </row>
    <row r="12" spans="2:24">
      <c r="B12" s="1164"/>
      <c r="C12" s="1155" t="s">
        <v>672</v>
      </c>
      <c r="D12" s="808" t="s">
        <v>673</v>
      </c>
      <c r="E12" s="809">
        <v>42292475.842086732</v>
      </c>
      <c r="F12" s="810"/>
    </row>
    <row r="13" spans="2:24">
      <c r="B13" s="1164"/>
      <c r="C13" s="1155"/>
      <c r="D13" s="808" t="s">
        <v>674</v>
      </c>
      <c r="E13" s="809">
        <v>62408713.950048685</v>
      </c>
      <c r="F13" s="810"/>
    </row>
    <row r="14" spans="2:24">
      <c r="B14" s="1164"/>
      <c r="C14" s="1155" t="s">
        <v>675</v>
      </c>
      <c r="D14" s="1156"/>
      <c r="E14" s="809">
        <v>52836880.867729343</v>
      </c>
      <c r="F14" s="810"/>
    </row>
    <row r="15" spans="2:24">
      <c r="B15" s="1164"/>
      <c r="C15" s="1155" t="s">
        <v>676</v>
      </c>
      <c r="D15" s="1156"/>
      <c r="E15" s="809">
        <v>56899763.62617027</v>
      </c>
      <c r="F15" s="810"/>
    </row>
    <row r="16" spans="2:24">
      <c r="B16" s="1164"/>
      <c r="C16" s="1155" t="s">
        <v>677</v>
      </c>
      <c r="D16" s="1156"/>
      <c r="E16" s="809">
        <v>2.6328869634153808E+17</v>
      </c>
      <c r="F16" s="810"/>
    </row>
    <row r="17" spans="2:14">
      <c r="B17" s="1164"/>
      <c r="C17" s="1155" t="s">
        <v>678</v>
      </c>
      <c r="D17" s="1156"/>
      <c r="E17" s="809">
        <v>513116649.83855093</v>
      </c>
      <c r="F17" s="810"/>
    </row>
    <row r="18" spans="2:14">
      <c r="B18" s="1164"/>
      <c r="C18" s="1155" t="s">
        <v>679</v>
      </c>
      <c r="D18" s="1156"/>
      <c r="E18" s="809">
        <v>-1947135097.8084533</v>
      </c>
      <c r="F18" s="810"/>
    </row>
    <row r="19" spans="2:14">
      <c r="B19" s="1164"/>
      <c r="C19" s="1155" t="s">
        <v>680</v>
      </c>
      <c r="D19" s="1156"/>
      <c r="E19" s="809">
        <v>1973981794.0219913</v>
      </c>
      <c r="F19" s="810"/>
    </row>
    <row r="20" spans="2:14">
      <c r="B20" s="1164"/>
      <c r="C20" s="1155" t="s">
        <v>681</v>
      </c>
      <c r="D20" s="1156"/>
      <c r="E20" s="809">
        <v>3921116891.8304443</v>
      </c>
      <c r="F20" s="810"/>
    </row>
    <row r="21" spans="2:14">
      <c r="B21" s="1164"/>
      <c r="C21" s="1155" t="s">
        <v>682</v>
      </c>
      <c r="D21" s="1156"/>
      <c r="E21" s="809">
        <v>690783330.11019623</v>
      </c>
      <c r="F21" s="810"/>
    </row>
    <row r="22" spans="2:14">
      <c r="B22" s="1164"/>
      <c r="C22" s="1155" t="s">
        <v>683</v>
      </c>
      <c r="D22" s="1156"/>
      <c r="E22" s="809">
        <v>-1.9972121684262521E-2</v>
      </c>
      <c r="F22" s="811">
        <v>2.4491224264650509E-2</v>
      </c>
    </row>
    <row r="23" spans="2:14" ht="13.5" thickBot="1">
      <c r="B23" s="1165"/>
      <c r="C23" s="1178" t="s">
        <v>684</v>
      </c>
      <c r="D23" s="1179"/>
      <c r="E23" s="812">
        <v>-6.4364794286883256E-2</v>
      </c>
      <c r="F23" s="813">
        <v>4.8977554446756832E-2</v>
      </c>
    </row>
    <row r="24" spans="2:14" ht="13.5" thickBot="1"/>
    <row r="25" spans="2:14">
      <c r="B25" s="1180" t="s">
        <v>690</v>
      </c>
      <c r="C25" s="1181"/>
      <c r="D25" s="814">
        <f>_xlfn.NORM.DIST(0,E11,E17,1)</f>
        <v>0.459368517302982</v>
      </c>
      <c r="E25" s="1145" t="s">
        <v>717</v>
      </c>
      <c r="F25" s="1146"/>
      <c r="G25" s="1146"/>
      <c r="H25" s="1146"/>
      <c r="I25" s="1146"/>
      <c r="J25" s="1146"/>
      <c r="K25" s="1146"/>
      <c r="L25" s="1146"/>
      <c r="M25" s="1146"/>
      <c r="N25" s="1147"/>
    </row>
    <row r="26" spans="2:14" ht="13.5" thickBot="1">
      <c r="B26" s="1182" t="s">
        <v>691</v>
      </c>
      <c r="C26" s="1183"/>
      <c r="D26" s="815">
        <f>1-D25</f>
        <v>0.540631482697018</v>
      </c>
      <c r="E26" s="1148"/>
      <c r="F26" s="1149"/>
      <c r="G26" s="1149"/>
      <c r="H26" s="1149"/>
      <c r="I26" s="1149"/>
      <c r="J26" s="1149"/>
      <c r="K26" s="1149"/>
      <c r="L26" s="1149"/>
      <c r="M26" s="1149"/>
      <c r="N26" s="1150"/>
    </row>
    <row r="53" spans="2:14" s="642" customFormat="1"/>
    <row r="54" spans="2:14" ht="13.5" thickBot="1"/>
    <row r="55" spans="2:14" ht="24" customHeight="1" thickBot="1">
      <c r="B55" s="1116" t="s">
        <v>687</v>
      </c>
      <c r="C55" s="1117"/>
      <c r="D55" s="1117"/>
      <c r="E55" s="1117"/>
      <c r="F55" s="1117"/>
      <c r="G55" s="1117"/>
      <c r="H55" s="1117"/>
      <c r="I55" s="1117"/>
      <c r="J55" s="1117"/>
      <c r="K55" s="1117"/>
      <c r="L55" s="1117"/>
      <c r="M55" s="1117"/>
      <c r="N55" s="1118"/>
    </row>
    <row r="86" spans="2:14" ht="13.5" thickBot="1"/>
    <row r="87" spans="2:14" ht="20.25" customHeight="1" thickBot="1">
      <c r="B87" s="1184" t="s">
        <v>718</v>
      </c>
      <c r="C87" s="1185"/>
      <c r="D87" s="1185"/>
      <c r="E87" s="1185"/>
      <c r="F87" s="1185"/>
      <c r="G87" s="1185"/>
      <c r="H87" s="1185"/>
      <c r="I87" s="1185"/>
      <c r="J87" s="1185"/>
      <c r="K87" s="1185"/>
      <c r="L87" s="1185"/>
      <c r="M87" s="1185"/>
      <c r="N87" s="1186"/>
    </row>
    <row r="90" spans="2:14" ht="13.5" thickBot="1"/>
    <row r="91" spans="2:14">
      <c r="B91" s="1168" t="s">
        <v>688</v>
      </c>
      <c r="C91" s="1171" t="s">
        <v>719</v>
      </c>
      <c r="D91" s="1172"/>
      <c r="E91" s="1172"/>
      <c r="F91" s="1172"/>
      <c r="G91" s="1172"/>
      <c r="H91" s="1172"/>
      <c r="I91" s="1172"/>
      <c r="J91" s="1172"/>
      <c r="K91" s="1172"/>
      <c r="L91" s="1172"/>
      <c r="M91" s="1172"/>
      <c r="N91" s="1173"/>
    </row>
    <row r="92" spans="2:14">
      <c r="B92" s="1169"/>
      <c r="C92" s="1174"/>
      <c r="D92" s="1175"/>
      <c r="E92" s="1175"/>
      <c r="F92" s="1175"/>
      <c r="G92" s="1175"/>
      <c r="H92" s="1175"/>
      <c r="I92" s="1175"/>
      <c r="J92" s="1175"/>
      <c r="K92" s="1175"/>
      <c r="L92" s="1175"/>
      <c r="M92" s="1175"/>
      <c r="N92" s="1176"/>
    </row>
    <row r="93" spans="2:14" ht="13.5" thickBot="1">
      <c r="B93" s="1170"/>
      <c r="C93" s="1177"/>
      <c r="D93" s="999"/>
      <c r="E93" s="999"/>
      <c r="F93" s="999"/>
      <c r="G93" s="999"/>
      <c r="H93" s="999"/>
      <c r="I93" s="999"/>
      <c r="J93" s="999"/>
      <c r="K93" s="999"/>
      <c r="L93" s="999"/>
      <c r="M93" s="999"/>
      <c r="N93" s="1000"/>
    </row>
  </sheetData>
  <sheetProtection algorithmName="SHA-512" hashValue="2LYxnF8PRRbyL0glDoZBDcRkcTL4e0DYQ2XlvN9mcZHFVzg6QdH4UriFfv8tazLVPx+6INNi6z02GbT8Lj6PjQ==" saltValue="Wjf6hrlC8uqyJYjCjoZ1Ag==" spinCount="100000" sheet="1" objects="1" scenarios="1"/>
  <mergeCells count="24">
    <mergeCell ref="B91:B93"/>
    <mergeCell ref="C91:N93"/>
    <mergeCell ref="C23:D23"/>
    <mergeCell ref="B25:C25"/>
    <mergeCell ref="E25:N26"/>
    <mergeCell ref="B26:C26"/>
    <mergeCell ref="B55:N55"/>
    <mergeCell ref="B87:N87"/>
    <mergeCell ref="C22:D22"/>
    <mergeCell ref="B2:X5"/>
    <mergeCell ref="B7:F7"/>
    <mergeCell ref="B9:F9"/>
    <mergeCell ref="B10:D10"/>
    <mergeCell ref="B11:B23"/>
    <mergeCell ref="C11:D11"/>
    <mergeCell ref="C12:C13"/>
    <mergeCell ref="C14:D14"/>
    <mergeCell ref="C15:D15"/>
    <mergeCell ref="C16:D16"/>
    <mergeCell ref="C17:D17"/>
    <mergeCell ref="C18:D18"/>
    <mergeCell ref="C19:D19"/>
    <mergeCell ref="C20:D20"/>
    <mergeCell ref="C21:D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73A4E-3283-3E44-8C84-C010E55797E0}">
  <sheetPr>
    <tabColor rgb="FF7030A0"/>
  </sheetPr>
  <dimension ref="A1"/>
  <sheetViews>
    <sheetView workbookViewId="0">
      <selection activeCell="AE34" sqref="AE34"/>
    </sheetView>
  </sheetViews>
  <sheetFormatPr defaultColWidth="11.42578125"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B1B29-7F45-4743-9D55-E1488BDAE240}">
  <sheetPr>
    <tabColor rgb="FFFFC000"/>
  </sheetPr>
  <dimension ref="B2:L39"/>
  <sheetViews>
    <sheetView zoomScale="80" zoomScaleNormal="80" workbookViewId="0">
      <selection activeCell="B25" sqref="B25"/>
    </sheetView>
  </sheetViews>
  <sheetFormatPr defaultColWidth="9.140625" defaultRowHeight="11.25"/>
  <cols>
    <col min="1" max="1" width="2.7109375" style="2" customWidth="1"/>
    <col min="2" max="2" width="42.28515625" style="2" customWidth="1"/>
    <col min="3" max="3" width="11.7109375" style="2" customWidth="1"/>
    <col min="4" max="7" width="5.42578125" style="2" bestFit="1" customWidth="1"/>
    <col min="8" max="8" width="5.42578125" style="2" customWidth="1"/>
    <col min="9" max="9" width="6.140625" style="2" bestFit="1" customWidth="1"/>
    <col min="10" max="10" width="5.42578125" style="2" bestFit="1" customWidth="1"/>
    <col min="11" max="16384" width="9.140625" style="2"/>
  </cols>
  <sheetData>
    <row r="2" spans="2:10">
      <c r="B2" s="3" t="s">
        <v>339</v>
      </c>
      <c r="C2" s="3"/>
      <c r="D2" s="3" t="s">
        <v>10</v>
      </c>
      <c r="E2" s="3"/>
      <c r="F2" s="3"/>
      <c r="G2" s="3"/>
      <c r="H2" s="3"/>
      <c r="I2" s="3"/>
      <c r="J2" s="3"/>
    </row>
    <row r="3" spans="2:10">
      <c r="B3" s="4"/>
      <c r="C3" s="4"/>
      <c r="D3" s="5">
        <v>1</v>
      </c>
      <c r="E3" s="5">
        <v>2</v>
      </c>
      <c r="F3" s="5">
        <v>3</v>
      </c>
      <c r="G3" s="5">
        <v>4</v>
      </c>
      <c r="H3" s="5">
        <v>5</v>
      </c>
      <c r="I3" s="5"/>
      <c r="J3" s="5">
        <f>Parametre!C12</f>
        <v>30</v>
      </c>
    </row>
    <row r="4" spans="2:10">
      <c r="B4" s="6" t="s">
        <v>218</v>
      </c>
      <c r="C4" s="6" t="s">
        <v>9</v>
      </c>
      <c r="D4" s="7">
        <f>Parametre!C13</f>
        <v>2023</v>
      </c>
      <c r="E4" s="7">
        <f>$D$4+D3</f>
        <v>2024</v>
      </c>
      <c r="F4" s="7">
        <f>$D$4+E3</f>
        <v>2025</v>
      </c>
      <c r="G4" s="7">
        <f>$D$4+F3</f>
        <v>2026</v>
      </c>
      <c r="H4" s="7">
        <v>2025</v>
      </c>
      <c r="I4" s="7" t="s">
        <v>47</v>
      </c>
      <c r="J4" s="7">
        <f>Parametre!C16</f>
        <v>2052</v>
      </c>
    </row>
    <row r="5" spans="2:10">
      <c r="B5" s="3" t="s">
        <v>341</v>
      </c>
      <c r="C5" s="180">
        <f t="shared" ref="C5:C14" si="0">SUM(D5:J5)</f>
        <v>0</v>
      </c>
      <c r="D5" s="180">
        <f t="shared" ref="D5:J5" si="1">SUM(D6:D7)</f>
        <v>0</v>
      </c>
      <c r="E5" s="180">
        <f t="shared" si="1"/>
        <v>0</v>
      </c>
      <c r="F5" s="180">
        <f t="shared" si="1"/>
        <v>0</v>
      </c>
      <c r="G5" s="180">
        <f t="shared" si="1"/>
        <v>0</v>
      </c>
      <c r="H5" s="180">
        <f t="shared" si="1"/>
        <v>0</v>
      </c>
      <c r="I5" s="180">
        <f t="shared" si="1"/>
        <v>0</v>
      </c>
      <c r="J5" s="180">
        <f t="shared" si="1"/>
        <v>0</v>
      </c>
    </row>
    <row r="6" spans="2:10">
      <c r="B6" s="122" t="s">
        <v>720</v>
      </c>
      <c r="C6" s="185">
        <f t="shared" si="0"/>
        <v>0</v>
      </c>
      <c r="D6" s="181">
        <v>0</v>
      </c>
      <c r="E6" s="181">
        <v>0</v>
      </c>
      <c r="F6" s="181">
        <v>0</v>
      </c>
      <c r="G6" s="181">
        <v>0</v>
      </c>
      <c r="H6" s="181">
        <v>0</v>
      </c>
      <c r="I6" s="181">
        <v>0</v>
      </c>
      <c r="J6" s="181">
        <v>0</v>
      </c>
    </row>
    <row r="7" spans="2:10">
      <c r="B7" s="122" t="s">
        <v>364</v>
      </c>
      <c r="C7" s="185">
        <f t="shared" si="0"/>
        <v>0</v>
      </c>
      <c r="D7" s="181">
        <v>0</v>
      </c>
      <c r="E7" s="181">
        <v>0</v>
      </c>
      <c r="F7" s="181">
        <v>0</v>
      </c>
      <c r="G7" s="181">
        <v>0</v>
      </c>
      <c r="H7" s="181">
        <v>0</v>
      </c>
      <c r="I7" s="181">
        <v>0</v>
      </c>
      <c r="J7" s="181">
        <v>0</v>
      </c>
    </row>
    <row r="8" spans="2:10">
      <c r="B8" s="13" t="s">
        <v>340</v>
      </c>
      <c r="C8" s="180">
        <f t="shared" si="0"/>
        <v>0</v>
      </c>
      <c r="D8" s="181">
        <v>0</v>
      </c>
      <c r="E8" s="181">
        <v>0</v>
      </c>
      <c r="F8" s="181">
        <v>0</v>
      </c>
      <c r="G8" s="181">
        <v>0</v>
      </c>
      <c r="H8" s="181">
        <v>0</v>
      </c>
      <c r="I8" s="181">
        <v>0</v>
      </c>
      <c r="J8" s="181">
        <v>0</v>
      </c>
    </row>
    <row r="9" spans="2:10">
      <c r="B9" s="3" t="s">
        <v>49</v>
      </c>
      <c r="C9" s="180">
        <f t="shared" si="0"/>
        <v>0</v>
      </c>
      <c r="D9" s="182">
        <v>0</v>
      </c>
      <c r="E9" s="182">
        <v>0</v>
      </c>
      <c r="F9" s="182">
        <v>0</v>
      </c>
      <c r="G9" s="182">
        <v>0</v>
      </c>
      <c r="H9" s="182">
        <v>0</v>
      </c>
      <c r="I9" s="182">
        <v>0</v>
      </c>
      <c r="J9" s="182">
        <v>0</v>
      </c>
    </row>
    <row r="10" spans="2:10" s="10" customFormat="1">
      <c r="B10" s="9" t="s">
        <v>239</v>
      </c>
      <c r="C10" s="183">
        <f t="shared" si="0"/>
        <v>0</v>
      </c>
      <c r="D10" s="183">
        <f t="shared" ref="D10:J10" si="2">SUM(D5:D5,D8:D9)</f>
        <v>0</v>
      </c>
      <c r="E10" s="183">
        <f t="shared" si="2"/>
        <v>0</v>
      </c>
      <c r="F10" s="183">
        <f t="shared" si="2"/>
        <v>0</v>
      </c>
      <c r="G10" s="183">
        <f t="shared" si="2"/>
        <v>0</v>
      </c>
      <c r="H10" s="183">
        <f t="shared" si="2"/>
        <v>0</v>
      </c>
      <c r="I10" s="183">
        <f t="shared" si="2"/>
        <v>0</v>
      </c>
      <c r="J10" s="183">
        <f t="shared" si="2"/>
        <v>0</v>
      </c>
    </row>
    <row r="11" spans="2:10">
      <c r="B11" s="3" t="s">
        <v>43</v>
      </c>
      <c r="C11" s="180">
        <f t="shared" si="0"/>
        <v>0</v>
      </c>
      <c r="D11" s="182">
        <v>0</v>
      </c>
      <c r="E11" s="182">
        <v>0</v>
      </c>
      <c r="F11" s="182">
        <v>0</v>
      </c>
      <c r="G11" s="182">
        <v>0</v>
      </c>
      <c r="H11" s="182">
        <v>0</v>
      </c>
      <c r="I11" s="182">
        <v>0</v>
      </c>
      <c r="J11" s="182">
        <v>0</v>
      </c>
    </row>
    <row r="12" spans="2:10" ht="11.25" customHeight="1">
      <c r="B12" s="9" t="s">
        <v>342</v>
      </c>
      <c r="C12" s="184">
        <f t="shared" si="0"/>
        <v>0</v>
      </c>
      <c r="D12" s="184">
        <f t="shared" ref="D12:J12" si="3">SUM(D10:D11)</f>
        <v>0</v>
      </c>
      <c r="E12" s="184">
        <f t="shared" si="3"/>
        <v>0</v>
      </c>
      <c r="F12" s="184">
        <f t="shared" si="3"/>
        <v>0</v>
      </c>
      <c r="G12" s="184">
        <f t="shared" si="3"/>
        <v>0</v>
      </c>
      <c r="H12" s="184">
        <f t="shared" si="3"/>
        <v>0</v>
      </c>
      <c r="I12" s="184">
        <f t="shared" si="3"/>
        <v>0</v>
      </c>
      <c r="J12" s="184">
        <f t="shared" si="3"/>
        <v>0</v>
      </c>
    </row>
    <row r="13" spans="2:10">
      <c r="B13" s="3" t="s">
        <v>50</v>
      </c>
      <c r="C13" s="180">
        <f t="shared" si="0"/>
        <v>0</v>
      </c>
      <c r="D13" s="182">
        <f>D12*0.2</f>
        <v>0</v>
      </c>
      <c r="E13" s="182">
        <f t="shared" ref="E13:J13" si="4">E12*0.2</f>
        <v>0</v>
      </c>
      <c r="F13" s="182">
        <f t="shared" si="4"/>
        <v>0</v>
      </c>
      <c r="G13" s="182">
        <f t="shared" si="4"/>
        <v>0</v>
      </c>
      <c r="H13" s="182">
        <f t="shared" si="4"/>
        <v>0</v>
      </c>
      <c r="I13" s="182">
        <f t="shared" si="4"/>
        <v>0</v>
      </c>
      <c r="J13" s="182">
        <f t="shared" si="4"/>
        <v>0</v>
      </c>
    </row>
    <row r="14" spans="2:10">
      <c r="B14" s="4" t="s">
        <v>219</v>
      </c>
      <c r="C14" s="184">
        <f t="shared" si="0"/>
        <v>0</v>
      </c>
      <c r="D14" s="184">
        <f t="shared" ref="D14:J14" si="5">SUM(D12:D13)</f>
        <v>0</v>
      </c>
      <c r="E14" s="184">
        <f t="shared" si="5"/>
        <v>0</v>
      </c>
      <c r="F14" s="184">
        <f t="shared" si="5"/>
        <v>0</v>
      </c>
      <c r="G14" s="184">
        <f t="shared" si="5"/>
        <v>0</v>
      </c>
      <c r="H14" s="184">
        <f t="shared" si="5"/>
        <v>0</v>
      </c>
      <c r="I14" s="184">
        <f t="shared" si="5"/>
        <v>0</v>
      </c>
      <c r="J14" s="184">
        <f t="shared" si="5"/>
        <v>0</v>
      </c>
    </row>
    <row r="15" spans="2:10">
      <c r="C15" s="11"/>
      <c r="D15" s="11"/>
      <c r="E15" s="11"/>
      <c r="F15" s="11"/>
      <c r="G15" s="11"/>
      <c r="H15" s="11"/>
      <c r="I15" s="11"/>
      <c r="J15" s="11"/>
    </row>
    <row r="16" spans="2:10">
      <c r="B16" s="123" t="s">
        <v>220</v>
      </c>
      <c r="C16" s="187">
        <f>SUM(D16:J16)</f>
        <v>0</v>
      </c>
      <c r="D16" s="188">
        <f>D12</f>
        <v>0</v>
      </c>
      <c r="E16" s="188">
        <f t="shared" ref="E16:J16" si="6">E12</f>
        <v>0</v>
      </c>
      <c r="F16" s="188">
        <f t="shared" si="6"/>
        <v>0</v>
      </c>
      <c r="G16" s="188">
        <f t="shared" si="6"/>
        <v>0</v>
      </c>
      <c r="H16" s="188">
        <f t="shared" si="6"/>
        <v>0</v>
      </c>
      <c r="I16" s="188">
        <f t="shared" si="6"/>
        <v>0</v>
      </c>
      <c r="J16" s="188">
        <f t="shared" si="6"/>
        <v>0</v>
      </c>
    </row>
    <row r="17" spans="2:12">
      <c r="B17" s="123" t="s">
        <v>343</v>
      </c>
      <c r="C17" s="187">
        <f>SUM(D17:J17)</f>
        <v>0</v>
      </c>
      <c r="D17" s="187">
        <f>D10</f>
        <v>0</v>
      </c>
      <c r="E17" s="187">
        <f t="shared" ref="E17:J17" si="7">E10</f>
        <v>0</v>
      </c>
      <c r="F17" s="187">
        <f t="shared" si="7"/>
        <v>0</v>
      </c>
      <c r="G17" s="187">
        <f t="shared" si="7"/>
        <v>0</v>
      </c>
      <c r="H17" s="187">
        <f t="shared" si="7"/>
        <v>0</v>
      </c>
      <c r="I17" s="187">
        <f t="shared" si="7"/>
        <v>0</v>
      </c>
      <c r="J17" s="187">
        <f t="shared" si="7"/>
        <v>0</v>
      </c>
    </row>
    <row r="18" spans="2:12">
      <c r="B18" s="123" t="s">
        <v>221</v>
      </c>
      <c r="C18" s="187">
        <f>SUM(D18:J18)</f>
        <v>0</v>
      </c>
      <c r="D18" s="187">
        <f>D14-D16</f>
        <v>0</v>
      </c>
      <c r="E18" s="187">
        <f t="shared" ref="E18:J18" si="8">E14-E16</f>
        <v>0</v>
      </c>
      <c r="F18" s="187">
        <f t="shared" si="8"/>
        <v>0</v>
      </c>
      <c r="G18" s="187">
        <f t="shared" si="8"/>
        <v>0</v>
      </c>
      <c r="H18" s="187">
        <f t="shared" si="8"/>
        <v>0</v>
      </c>
      <c r="I18" s="187">
        <f t="shared" si="8"/>
        <v>0</v>
      </c>
      <c r="J18" s="187">
        <f t="shared" si="8"/>
        <v>0</v>
      </c>
    </row>
    <row r="19" spans="2:12">
      <c r="B19" s="1" t="s">
        <v>51</v>
      </c>
    </row>
    <row r="21" spans="2:12">
      <c r="B21" s="3"/>
      <c r="C21" s="3"/>
      <c r="D21" s="3" t="s">
        <v>10</v>
      </c>
      <c r="E21" s="3"/>
      <c r="F21" s="3"/>
      <c r="G21" s="3"/>
      <c r="H21" s="3"/>
      <c r="I21" s="3"/>
      <c r="J21" s="3"/>
      <c r="L21" s="2" t="s">
        <v>216</v>
      </c>
    </row>
    <row r="22" spans="2:12">
      <c r="B22" s="4"/>
      <c r="C22" s="4"/>
      <c r="D22" s="5">
        <v>1</v>
      </c>
      <c r="E22" s="5">
        <v>2</v>
      </c>
      <c r="F22" s="5">
        <v>3</v>
      </c>
      <c r="G22" s="5">
        <v>4</v>
      </c>
      <c r="H22" s="5">
        <v>5</v>
      </c>
      <c r="I22" s="5"/>
      <c r="J22" s="5">
        <v>30</v>
      </c>
      <c r="L22" s="2" t="s">
        <v>217</v>
      </c>
    </row>
    <row r="23" spans="2:12">
      <c r="B23" s="6" t="s">
        <v>36</v>
      </c>
      <c r="C23" s="6" t="s">
        <v>9</v>
      </c>
      <c r="D23" s="7">
        <f>D4</f>
        <v>2023</v>
      </c>
      <c r="E23" s="7">
        <f>E4</f>
        <v>2024</v>
      </c>
      <c r="F23" s="7">
        <f>F4</f>
        <v>2025</v>
      </c>
      <c r="G23" s="7">
        <f>G4</f>
        <v>2026</v>
      </c>
      <c r="H23" s="7">
        <v>2025</v>
      </c>
      <c r="I23" s="7" t="s">
        <v>48</v>
      </c>
      <c r="J23" s="7">
        <f>J4</f>
        <v>2052</v>
      </c>
    </row>
    <row r="24" spans="2:12">
      <c r="B24" s="3" t="s">
        <v>341</v>
      </c>
      <c r="C24" s="180">
        <f t="shared" ref="C24:C29" si="9">SUM(D24:J24)</f>
        <v>0</v>
      </c>
      <c r="D24" s="180">
        <f t="shared" ref="D24:J24" si="10">SUM(D25:D26)</f>
        <v>0</v>
      </c>
      <c r="E24" s="180">
        <f t="shared" si="10"/>
        <v>0</v>
      </c>
      <c r="F24" s="180">
        <f t="shared" si="10"/>
        <v>0</v>
      </c>
      <c r="G24" s="180">
        <f t="shared" si="10"/>
        <v>0</v>
      </c>
      <c r="H24" s="180">
        <f t="shared" si="10"/>
        <v>0</v>
      </c>
      <c r="I24" s="180">
        <f t="shared" si="10"/>
        <v>0</v>
      </c>
      <c r="J24" s="180">
        <f t="shared" si="10"/>
        <v>0</v>
      </c>
    </row>
    <row r="25" spans="2:12">
      <c r="B25" s="122" t="s">
        <v>720</v>
      </c>
      <c r="C25" s="185">
        <f t="shared" si="9"/>
        <v>0</v>
      </c>
      <c r="D25" s="185">
        <f>D6*Parametre!$C$71</f>
        <v>0</v>
      </c>
      <c r="E25" s="185">
        <f>E6*Parametre!$C$71</f>
        <v>0</v>
      </c>
      <c r="F25" s="185">
        <f>F6*Parametre!$C$71</f>
        <v>0</v>
      </c>
      <c r="G25" s="185">
        <f>G6*Parametre!$C$71</f>
        <v>0</v>
      </c>
      <c r="H25" s="185">
        <f>H6*Parametre!$C$71</f>
        <v>0</v>
      </c>
      <c r="I25" s="185">
        <f>I6*Parametre!$C$71</f>
        <v>0</v>
      </c>
      <c r="J25" s="185">
        <f>J6*Parametre!$C$71</f>
        <v>0</v>
      </c>
    </row>
    <row r="26" spans="2:12">
      <c r="B26" s="122" t="s">
        <v>364</v>
      </c>
      <c r="C26" s="185">
        <f t="shared" si="9"/>
        <v>0</v>
      </c>
      <c r="D26" s="185">
        <f>D7*Parametre!$C$71</f>
        <v>0</v>
      </c>
      <c r="E26" s="185">
        <f>E7*Parametre!$C$71</f>
        <v>0</v>
      </c>
      <c r="F26" s="185">
        <f>F7*Parametre!$C$71</f>
        <v>0</v>
      </c>
      <c r="G26" s="185">
        <f>G7*Parametre!$C$71</f>
        <v>0</v>
      </c>
      <c r="H26" s="185">
        <f>H7*Parametre!$C$71</f>
        <v>0</v>
      </c>
      <c r="I26" s="185">
        <f>I7*Parametre!$C$71</f>
        <v>0</v>
      </c>
      <c r="J26" s="185">
        <f>J7*Parametre!$C$71</f>
        <v>0</v>
      </c>
    </row>
    <row r="27" spans="2:12">
      <c r="B27" s="13" t="s">
        <v>340</v>
      </c>
      <c r="C27" s="180">
        <f t="shared" si="9"/>
        <v>0</v>
      </c>
      <c r="D27" s="180">
        <f>D8*Parametre!$C$71</f>
        <v>0</v>
      </c>
      <c r="E27" s="180">
        <f>E8*Parametre!$C$71</f>
        <v>0</v>
      </c>
      <c r="F27" s="180">
        <f>F8*Parametre!$C$71</f>
        <v>0</v>
      </c>
      <c r="G27" s="180">
        <f>G8*Parametre!$C$71</f>
        <v>0</v>
      </c>
      <c r="H27" s="180">
        <f>H8*Parametre!$C$71</f>
        <v>0</v>
      </c>
      <c r="I27" s="180">
        <f>I8*Parametre!$C$71</f>
        <v>0</v>
      </c>
      <c r="J27" s="180">
        <f>J8*Parametre!$C$71</f>
        <v>0</v>
      </c>
    </row>
    <row r="28" spans="2:12">
      <c r="B28" s="3" t="s">
        <v>49</v>
      </c>
      <c r="C28" s="180">
        <f t="shared" si="9"/>
        <v>0</v>
      </c>
      <c r="D28" s="180">
        <f>D9*Parametre!$C$71</f>
        <v>0</v>
      </c>
      <c r="E28" s="180">
        <f>E9*Parametre!$C$71</f>
        <v>0</v>
      </c>
      <c r="F28" s="180">
        <f>F9*Parametre!$C$71</f>
        <v>0</v>
      </c>
      <c r="G28" s="180">
        <f>G9*Parametre!$C$71</f>
        <v>0</v>
      </c>
      <c r="H28" s="180">
        <f>H9*Parametre!$C$71</f>
        <v>0</v>
      </c>
      <c r="I28" s="180">
        <f>I9*Parametre!$C$71</f>
        <v>0</v>
      </c>
      <c r="J28" s="180">
        <f>J9*Parametre!$C$71</f>
        <v>0</v>
      </c>
    </row>
    <row r="29" spans="2:12">
      <c r="B29" s="4" t="s">
        <v>44</v>
      </c>
      <c r="C29" s="184">
        <f t="shared" si="9"/>
        <v>0</v>
      </c>
      <c r="D29" s="184">
        <f t="shared" ref="D29:J29" si="11">SUM(D24:D24,D27:D28)</f>
        <v>0</v>
      </c>
      <c r="E29" s="184">
        <f t="shared" si="11"/>
        <v>0</v>
      </c>
      <c r="F29" s="184">
        <f t="shared" si="11"/>
        <v>0</v>
      </c>
      <c r="G29" s="184">
        <f t="shared" si="11"/>
        <v>0</v>
      </c>
      <c r="H29" s="184">
        <f t="shared" si="11"/>
        <v>0</v>
      </c>
      <c r="I29" s="184">
        <f t="shared" si="11"/>
        <v>0</v>
      </c>
      <c r="J29" s="184">
        <f t="shared" si="11"/>
        <v>0</v>
      </c>
    </row>
    <row r="30" spans="2:12">
      <c r="B30" s="12"/>
      <c r="C30" s="36"/>
      <c r="D30" s="36"/>
      <c r="E30" s="36"/>
      <c r="F30" s="36"/>
      <c r="G30" s="36"/>
      <c r="H30" s="36"/>
      <c r="I30" s="36"/>
      <c r="J30" s="36"/>
    </row>
    <row r="31" spans="2:12">
      <c r="B31" s="12" t="s">
        <v>338</v>
      </c>
      <c r="C31" s="36"/>
      <c r="D31" s="36"/>
      <c r="E31" s="36"/>
      <c r="F31" s="36"/>
      <c r="G31" s="36"/>
      <c r="H31" s="36"/>
      <c r="I31" s="36"/>
      <c r="J31" s="36"/>
    </row>
    <row r="32" spans="2:12">
      <c r="B32" s="119" t="s">
        <v>341</v>
      </c>
    </row>
    <row r="33" spans="2:2">
      <c r="B33" s="120" t="s">
        <v>345</v>
      </c>
    </row>
    <row r="34" spans="2:2">
      <c r="B34" s="119" t="s">
        <v>340</v>
      </c>
    </row>
    <row r="35" spans="2:2">
      <c r="B35" s="120" t="s">
        <v>344</v>
      </c>
    </row>
    <row r="36" spans="2:2">
      <c r="B36" s="121" t="s">
        <v>213</v>
      </c>
    </row>
    <row r="37" spans="2:2">
      <c r="B37" s="1" t="s">
        <v>346</v>
      </c>
    </row>
    <row r="38" spans="2:2">
      <c r="B38" s="119" t="s">
        <v>214</v>
      </c>
    </row>
    <row r="39" spans="2:2">
      <c r="B39" s="120" t="s">
        <v>215</v>
      </c>
    </row>
  </sheetData>
  <sheetProtection algorithmName="SHA-512" hashValue="GxArOA0p3+bTI+wyW//j58BujVBrekLvzewZaKP6YKfDClqheFBPhJaQ+GvyayEMk6LYdq7pV89WYtDNxFVonA==" saltValue="YYiRyiSerCX75SGk/OkP3g==" spinCount="100000" sheet="1" objects="1" scenarios="1"/>
  <pageMargins left="0.19685039370078741" right="0.19685039370078741" top="0.98425196850393704" bottom="0.78740157480314965" header="0.51181102362204722" footer="0.51181102362204722"/>
  <pageSetup scale="75" orientation="landscape" r:id="rId1"/>
  <headerFooter alignWithMargins="0">
    <oddHeader>&amp;LPríloha 7: Štandardné tabuľky - Cesty 
&amp;"Arial,Tučné"&amp;12 01 Investičné náklady</oddHeader>
    <oddFooter>&amp;CStrana &amp;P z &amp;N</oddFooter>
  </headerFooter>
  <ignoredErrors>
    <ignoredError sqref="D5:J5 D10:J10" formulaRange="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B1:L14"/>
  <sheetViews>
    <sheetView zoomScale="80" zoomScaleNormal="80" workbookViewId="0">
      <selection activeCell="G33" sqref="G33"/>
    </sheetView>
  </sheetViews>
  <sheetFormatPr defaultColWidth="9.140625" defaultRowHeight="11.25"/>
  <cols>
    <col min="1" max="1" width="2.7109375" style="2" customWidth="1"/>
    <col min="2" max="2" width="68.85546875" style="2" customWidth="1"/>
    <col min="3" max="9" width="13.7109375" style="2" customWidth="1"/>
    <col min="10" max="18" width="12" style="2" customWidth="1"/>
    <col min="19" max="36" width="5" style="2" bestFit="1" customWidth="1"/>
    <col min="37" max="16384" width="9.140625" style="2"/>
  </cols>
  <sheetData>
    <row r="1" spans="2:12" ht="12" thickBot="1"/>
    <row r="2" spans="2:12">
      <c r="B2" s="12" t="s">
        <v>80</v>
      </c>
      <c r="H2" s="56" t="s">
        <v>81</v>
      </c>
      <c r="I2" s="57" t="s">
        <v>82</v>
      </c>
    </row>
    <row r="3" spans="2:12" ht="56.25">
      <c r="B3" s="50" t="s">
        <v>30</v>
      </c>
      <c r="C3" s="51" t="s">
        <v>348</v>
      </c>
      <c r="D3" s="51" t="s">
        <v>64</v>
      </c>
      <c r="E3" s="51" t="s">
        <v>28</v>
      </c>
      <c r="F3" s="51" t="s">
        <v>27</v>
      </c>
      <c r="G3" s="52" t="s">
        <v>29</v>
      </c>
      <c r="H3" s="54" t="s">
        <v>15</v>
      </c>
      <c r="I3" s="55" t="s">
        <v>15</v>
      </c>
      <c r="L3" s="2" t="s">
        <v>216</v>
      </c>
    </row>
    <row r="4" spans="2:12">
      <c r="B4" s="13" t="s">
        <v>720</v>
      </c>
      <c r="C4" s="15">
        <v>40</v>
      </c>
      <c r="D4" s="126">
        <f>Parametre!$C$12-(Parametre!$C$14-Parametre!$C$13+1)</f>
        <v>24</v>
      </c>
      <c r="E4" s="14">
        <v>0</v>
      </c>
      <c r="F4" s="15">
        <f>C4+(E4*C4)</f>
        <v>40</v>
      </c>
      <c r="G4" s="53">
        <f>(F4-D4)/C4</f>
        <v>0.4</v>
      </c>
      <c r="H4" s="166">
        <v>0</v>
      </c>
      <c r="I4" s="168">
        <f>H4*Parametre!$C$71</f>
        <v>0</v>
      </c>
      <c r="L4" s="2" t="s">
        <v>217</v>
      </c>
    </row>
    <row r="5" spans="2:12">
      <c r="B5" s="13" t="s">
        <v>364</v>
      </c>
      <c r="C5" s="15">
        <v>40</v>
      </c>
      <c r="D5" s="126">
        <f>Parametre!$C$12-(Parametre!$C$14-Parametre!$C$13+1)</f>
        <v>24</v>
      </c>
      <c r="E5" s="14">
        <v>0</v>
      </c>
      <c r="F5" s="15">
        <f t="shared" ref="F5:F6" si="0">C5+(E5*C5)</f>
        <v>40</v>
      </c>
      <c r="G5" s="53">
        <f t="shared" ref="G5:G6" si="1">(F5-D5)/C5</f>
        <v>0.4</v>
      </c>
      <c r="H5" s="166">
        <v>0</v>
      </c>
      <c r="I5" s="168">
        <f>H5*Parametre!$C$71</f>
        <v>0</v>
      </c>
    </row>
    <row r="6" spans="2:12" ht="12" thickBot="1">
      <c r="B6" s="13" t="s">
        <v>322</v>
      </c>
      <c r="C6" s="15">
        <v>30</v>
      </c>
      <c r="D6" s="126">
        <f>Parametre!$C$12-(Parametre!$C$14-Parametre!$C$13+1)</f>
        <v>24</v>
      </c>
      <c r="E6" s="14">
        <v>0</v>
      </c>
      <c r="F6" s="15">
        <f t="shared" si="0"/>
        <v>30</v>
      </c>
      <c r="G6" s="53">
        <f t="shared" si="1"/>
        <v>0.2</v>
      </c>
      <c r="H6" s="166">
        <v>0</v>
      </c>
      <c r="I6" s="168">
        <f>H6*Parametre!$C$71</f>
        <v>0</v>
      </c>
    </row>
    <row r="7" spans="2:12" ht="12" thickBot="1">
      <c r="B7" s="4" t="s">
        <v>15</v>
      </c>
      <c r="C7" s="3"/>
      <c r="D7" s="3"/>
      <c r="E7" s="3"/>
      <c r="F7" s="3"/>
      <c r="G7" s="21"/>
      <c r="H7" s="167">
        <f>SUM(H4:H6)</f>
        <v>0</v>
      </c>
      <c r="I7" s="165">
        <f>SUM(I4:I6)</f>
        <v>0</v>
      </c>
    </row>
    <row r="8" spans="2:12">
      <c r="B8" s="16" t="s">
        <v>347</v>
      </c>
    </row>
    <row r="9" spans="2:12">
      <c r="B9" s="1" t="s">
        <v>349</v>
      </c>
    </row>
    <row r="11" spans="2:12">
      <c r="B11" s="12" t="s">
        <v>83</v>
      </c>
    </row>
    <row r="12" spans="2:12">
      <c r="B12" s="21" t="s">
        <v>31</v>
      </c>
      <c r="C12" s="169">
        <v>0</v>
      </c>
      <c r="D12" s="36"/>
    </row>
    <row r="13" spans="2:12">
      <c r="B13" s="21" t="s">
        <v>42</v>
      </c>
      <c r="C13" s="169">
        <v>0</v>
      </c>
      <c r="D13" s="11"/>
    </row>
    <row r="14" spans="2:12">
      <c r="B14" s="1" t="s">
        <v>84</v>
      </c>
    </row>
  </sheetData>
  <sheetProtection algorithmName="SHA-512" hashValue="wWBKu4jq2G7sZgIVada4QdALM5jUScdhU4bSdxTa9EQxzh47LJjeop9nMiDUe+6hhIEbKh8ZeVhgPwVoLBbQNQ==" saltValue="HPBdbJhYbkgGKKz3gDUIaw==" spinCount="100000" sheet="1" objects="1" scenarios="1"/>
  <phoneticPr fontId="7" type="noConversion"/>
  <pageMargins left="0.19685039370078741" right="0.19685039370078741" top="0.98425196850393704" bottom="0.78740157480314965" header="0.51181102362204722" footer="0.51181102362204722"/>
  <pageSetup scale="75" orientation="landscape" r:id="rId1"/>
  <headerFooter alignWithMargins="0">
    <oddHeader>&amp;LPríloha 7: Štandardné tabuľky - Cesty
&amp;"Arial,Tučné"&amp;12 02 Zostatková hodnota</oddHeader>
    <oddFooter>Strana &amp;P z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4F32-2238-47B2-9CA1-FB56069E7061}">
  <sheetPr>
    <tabColor rgb="FFFFC000"/>
  </sheetPr>
  <dimension ref="B2:AG46"/>
  <sheetViews>
    <sheetView zoomScaleNormal="100" workbookViewId="0">
      <selection activeCell="H32" sqref="H32"/>
    </sheetView>
  </sheetViews>
  <sheetFormatPr defaultColWidth="9.140625" defaultRowHeight="11.25"/>
  <cols>
    <col min="1" max="1" width="2" style="432" customWidth="1"/>
    <col min="2" max="2" width="40.7109375" style="432" customWidth="1"/>
    <col min="3" max="3" width="10.7109375" style="432" customWidth="1"/>
    <col min="4" max="6" width="8.85546875" style="432" bestFit="1" customWidth="1"/>
    <col min="7" max="7" width="9.42578125" style="432" bestFit="1" customWidth="1"/>
    <col min="8" max="8" width="10.7109375" style="432" customWidth="1"/>
    <col min="9" max="9" width="10.42578125" style="432" customWidth="1"/>
    <col min="10" max="10" width="11.140625" style="432" customWidth="1"/>
    <col min="11" max="33" width="9.42578125" style="432" bestFit="1" customWidth="1"/>
    <col min="34" max="16384" width="9.140625" style="432"/>
  </cols>
  <sheetData>
    <row r="2" spans="2:33">
      <c r="C2" s="436"/>
      <c r="D2" s="436" t="s">
        <v>10</v>
      </c>
      <c r="E2" s="436"/>
      <c r="F2" s="436"/>
      <c r="G2" s="436"/>
      <c r="H2" s="436"/>
      <c r="I2" s="436"/>
      <c r="J2" s="436"/>
      <c r="K2" s="436"/>
      <c r="L2" s="436"/>
      <c r="M2" s="436"/>
      <c r="N2" s="436"/>
      <c r="O2" s="436"/>
      <c r="P2" s="436"/>
      <c r="Q2" s="436"/>
      <c r="R2" s="436"/>
      <c r="S2" s="436"/>
      <c r="T2" s="436"/>
      <c r="U2" s="436"/>
      <c r="V2" s="436"/>
      <c r="W2" s="436"/>
      <c r="X2" s="436"/>
      <c r="Y2" s="436"/>
      <c r="Z2" s="436"/>
      <c r="AA2" s="436"/>
      <c r="AB2" s="436"/>
      <c r="AC2" s="436"/>
      <c r="AD2" s="436"/>
      <c r="AE2" s="436"/>
      <c r="AF2" s="436"/>
      <c r="AG2" s="436"/>
    </row>
    <row r="3" spans="2:33">
      <c r="B3" s="438" t="s">
        <v>52</v>
      </c>
      <c r="C3" s="438"/>
      <c r="D3" s="436">
        <v>1</v>
      </c>
      <c r="E3" s="436">
        <v>2</v>
      </c>
      <c r="F3" s="436">
        <v>3</v>
      </c>
      <c r="G3" s="436">
        <v>4</v>
      </c>
      <c r="H3" s="436">
        <v>5</v>
      </c>
      <c r="I3" s="436">
        <v>6</v>
      </c>
      <c r="J3" s="436">
        <v>7</v>
      </c>
      <c r="K3" s="436">
        <v>8</v>
      </c>
      <c r="L3" s="436">
        <v>9</v>
      </c>
      <c r="M3" s="436">
        <v>10</v>
      </c>
      <c r="N3" s="436">
        <v>11</v>
      </c>
      <c r="O3" s="436">
        <v>12</v>
      </c>
      <c r="P3" s="436">
        <v>13</v>
      </c>
      <c r="Q3" s="436">
        <v>14</v>
      </c>
      <c r="R3" s="436">
        <v>15</v>
      </c>
      <c r="S3" s="436">
        <v>16</v>
      </c>
      <c r="T3" s="436">
        <v>17</v>
      </c>
      <c r="U3" s="436">
        <v>18</v>
      </c>
      <c r="V3" s="436">
        <v>19</v>
      </c>
      <c r="W3" s="436">
        <v>20</v>
      </c>
      <c r="X3" s="436">
        <v>21</v>
      </c>
      <c r="Y3" s="436">
        <v>22</v>
      </c>
      <c r="Z3" s="436">
        <v>23</v>
      </c>
      <c r="AA3" s="436">
        <v>24</v>
      </c>
      <c r="AB3" s="436">
        <v>25</v>
      </c>
      <c r="AC3" s="436">
        <v>26</v>
      </c>
      <c r="AD3" s="436">
        <v>27</v>
      </c>
      <c r="AE3" s="436">
        <v>28</v>
      </c>
      <c r="AF3" s="436">
        <v>29</v>
      </c>
      <c r="AG3" s="436">
        <v>30</v>
      </c>
    </row>
    <row r="4" spans="2:33">
      <c r="B4" s="441" t="s">
        <v>32</v>
      </c>
      <c r="C4" s="441" t="s">
        <v>9</v>
      </c>
      <c r="D4" s="555">
        <v>2023</v>
      </c>
      <c r="E4" s="555">
        <f>$D$4+D3</f>
        <v>2024</v>
      </c>
      <c r="F4" s="555">
        <f>$D$4+E3</f>
        <v>2025</v>
      </c>
      <c r="G4" s="555">
        <f>$D$4+F3</f>
        <v>2026</v>
      </c>
      <c r="H4" s="555">
        <f t="shared" ref="H4:AG4" si="0">$D$4+G3</f>
        <v>2027</v>
      </c>
      <c r="I4" s="555">
        <f t="shared" si="0"/>
        <v>2028</v>
      </c>
      <c r="J4" s="555">
        <f t="shared" si="0"/>
        <v>2029</v>
      </c>
      <c r="K4" s="555">
        <f t="shared" si="0"/>
        <v>2030</v>
      </c>
      <c r="L4" s="555">
        <f t="shared" si="0"/>
        <v>2031</v>
      </c>
      <c r="M4" s="555">
        <f t="shared" si="0"/>
        <v>2032</v>
      </c>
      <c r="N4" s="555">
        <f t="shared" si="0"/>
        <v>2033</v>
      </c>
      <c r="O4" s="555">
        <f t="shared" si="0"/>
        <v>2034</v>
      </c>
      <c r="P4" s="555">
        <f t="shared" si="0"/>
        <v>2035</v>
      </c>
      <c r="Q4" s="555">
        <f t="shared" si="0"/>
        <v>2036</v>
      </c>
      <c r="R4" s="555">
        <f t="shared" si="0"/>
        <v>2037</v>
      </c>
      <c r="S4" s="555">
        <f t="shared" si="0"/>
        <v>2038</v>
      </c>
      <c r="T4" s="555">
        <f t="shared" si="0"/>
        <v>2039</v>
      </c>
      <c r="U4" s="555">
        <f t="shared" si="0"/>
        <v>2040</v>
      </c>
      <c r="V4" s="555">
        <f t="shared" si="0"/>
        <v>2041</v>
      </c>
      <c r="W4" s="555">
        <f t="shared" si="0"/>
        <v>2042</v>
      </c>
      <c r="X4" s="555">
        <f t="shared" si="0"/>
        <v>2043</v>
      </c>
      <c r="Y4" s="555">
        <f t="shared" si="0"/>
        <v>2044</v>
      </c>
      <c r="Z4" s="555">
        <f t="shared" si="0"/>
        <v>2045</v>
      </c>
      <c r="AA4" s="555">
        <f t="shared" si="0"/>
        <v>2046</v>
      </c>
      <c r="AB4" s="555">
        <f t="shared" si="0"/>
        <v>2047</v>
      </c>
      <c r="AC4" s="555">
        <f t="shared" si="0"/>
        <v>2048</v>
      </c>
      <c r="AD4" s="555">
        <f t="shared" si="0"/>
        <v>2049</v>
      </c>
      <c r="AE4" s="555">
        <f t="shared" si="0"/>
        <v>2050</v>
      </c>
      <c r="AF4" s="555">
        <f t="shared" si="0"/>
        <v>2051</v>
      </c>
      <c r="AG4" s="555">
        <f t="shared" si="0"/>
        <v>2052</v>
      </c>
    </row>
    <row r="5" spans="2:33">
      <c r="B5" s="436" t="s">
        <v>353</v>
      </c>
      <c r="C5" s="439">
        <f t="shared" ref="C5:C10" si="1">SUM(D5:AG5)</f>
        <v>2590475400</v>
      </c>
      <c r="D5" s="435">
        <f>'03A PV nájom bez proj. pomocné'!D61</f>
        <v>86349180</v>
      </c>
      <c r="E5" s="435">
        <f>'03A PV nájom bez proj. pomocné'!E61</f>
        <v>86349180</v>
      </c>
      <c r="F5" s="435">
        <f>'03A PV nájom bez proj. pomocné'!F61</f>
        <v>86349180</v>
      </c>
      <c r="G5" s="435">
        <f>'03A PV nájom bez proj. pomocné'!G61</f>
        <v>86349180</v>
      </c>
      <c r="H5" s="435">
        <f>'03A PV nájom bez proj. pomocné'!H61</f>
        <v>86349180</v>
      </c>
      <c r="I5" s="435">
        <f>'03A PV nájom bez proj. pomocné'!I61</f>
        <v>86349180</v>
      </c>
      <c r="J5" s="435">
        <f>'03A PV nájom bez proj. pomocné'!J61</f>
        <v>86349180</v>
      </c>
      <c r="K5" s="435">
        <f>'03A PV nájom bez proj. pomocné'!K61</f>
        <v>86349180</v>
      </c>
      <c r="L5" s="435">
        <f>'03A PV nájom bez proj. pomocné'!L61</f>
        <v>86349180</v>
      </c>
      <c r="M5" s="435">
        <f>'03A PV nájom bez proj. pomocné'!M61</f>
        <v>86349180</v>
      </c>
      <c r="N5" s="435">
        <f>'03A PV nájom bez proj. pomocné'!N61</f>
        <v>86349180</v>
      </c>
      <c r="O5" s="435">
        <f>'03A PV nájom bez proj. pomocné'!O61</f>
        <v>86349180</v>
      </c>
      <c r="P5" s="435">
        <f>'03A PV nájom bez proj. pomocné'!P61</f>
        <v>86349180</v>
      </c>
      <c r="Q5" s="435">
        <f>'03A PV nájom bez proj. pomocné'!Q61</f>
        <v>86349180</v>
      </c>
      <c r="R5" s="435">
        <f>'03A PV nájom bez proj. pomocné'!R61</f>
        <v>86349180</v>
      </c>
      <c r="S5" s="435">
        <f>'03A PV nájom bez proj. pomocné'!S61</f>
        <v>86349180</v>
      </c>
      <c r="T5" s="435">
        <f>'03A PV nájom bez proj. pomocné'!T61</f>
        <v>86349180</v>
      </c>
      <c r="U5" s="435">
        <f>'03A PV nájom bez proj. pomocné'!U61</f>
        <v>86349180</v>
      </c>
      <c r="V5" s="435">
        <f>'03A PV nájom bez proj. pomocné'!V61</f>
        <v>86349180</v>
      </c>
      <c r="W5" s="435">
        <f>'03A PV nájom bez proj. pomocné'!W61</f>
        <v>86349180</v>
      </c>
      <c r="X5" s="435">
        <f>'03A PV nájom bez proj. pomocné'!X61</f>
        <v>86349180</v>
      </c>
      <c r="Y5" s="435">
        <f>'03A PV nájom bez proj. pomocné'!Y61</f>
        <v>86349180</v>
      </c>
      <c r="Z5" s="435">
        <f>'03A PV nájom bez proj. pomocné'!Z61</f>
        <v>86349180</v>
      </c>
      <c r="AA5" s="435">
        <f>'03A PV nájom bez proj. pomocné'!AA61</f>
        <v>86349180</v>
      </c>
      <c r="AB5" s="435">
        <f>'03A PV nájom bez proj. pomocné'!AB61</f>
        <v>86349180</v>
      </c>
      <c r="AC5" s="435">
        <f>'03A PV nájom bez proj. pomocné'!AC61</f>
        <v>86349180</v>
      </c>
      <c r="AD5" s="435">
        <f>'03A PV nájom bez proj. pomocné'!AD61</f>
        <v>86349180</v>
      </c>
      <c r="AE5" s="435">
        <f>'03A PV nájom bez proj. pomocné'!AE61</f>
        <v>86349180</v>
      </c>
      <c r="AF5" s="435">
        <f>'03A PV nájom bez proj. pomocné'!AF61</f>
        <v>86349180</v>
      </c>
      <c r="AG5" s="435">
        <f>'03A PV nájom bez proj. pomocné'!AG61</f>
        <v>86349180</v>
      </c>
    </row>
    <row r="6" spans="2:33">
      <c r="B6" s="436" t="s">
        <v>351</v>
      </c>
      <c r="C6" s="439">
        <f t="shared" si="1"/>
        <v>506500000</v>
      </c>
      <c r="D6" s="435">
        <f>'03A PV nájom bez proj. pomocné'!D62</f>
        <v>0</v>
      </c>
      <c r="E6" s="435">
        <f>'03A PV nájom bez proj. pomocné'!E62</f>
        <v>0</v>
      </c>
      <c r="F6" s="435">
        <f>'03A PV nájom bez proj. pomocné'!F62</f>
        <v>0</v>
      </c>
      <c r="G6" s="435">
        <f>'03A PV nájom bez proj. pomocné'!G62</f>
        <v>67000000</v>
      </c>
      <c r="H6" s="435">
        <f>'03A PV nájom bez proj. pomocné'!H62</f>
        <v>111500000</v>
      </c>
      <c r="I6" s="435">
        <f>'03A PV nájom bez proj. pomocné'!I62</f>
        <v>111500000</v>
      </c>
      <c r="J6" s="435">
        <f>'03A PV nájom bez proj. pomocné'!J62</f>
        <v>111500000</v>
      </c>
      <c r="K6" s="435">
        <f>'03A PV nájom bez proj. pomocné'!K62</f>
        <v>0</v>
      </c>
      <c r="L6" s="435">
        <f>'03A PV nájom bez proj. pomocné'!L62</f>
        <v>0</v>
      </c>
      <c r="M6" s="435">
        <f>'03A PV nájom bez proj. pomocné'!M62</f>
        <v>0</v>
      </c>
      <c r="N6" s="435">
        <f>'03A PV nájom bez proj. pomocné'!N62</f>
        <v>0</v>
      </c>
      <c r="O6" s="435">
        <f>'03A PV nájom bez proj. pomocné'!O62</f>
        <v>0</v>
      </c>
      <c r="P6" s="435">
        <f>'03A PV nájom bez proj. pomocné'!P62</f>
        <v>0</v>
      </c>
      <c r="Q6" s="435">
        <f>'03A PV nájom bez proj. pomocné'!Q62</f>
        <v>0</v>
      </c>
      <c r="R6" s="435">
        <f>'03A PV nájom bez proj. pomocné'!R62</f>
        <v>0</v>
      </c>
      <c r="S6" s="435">
        <f>'03A PV nájom bez proj. pomocné'!S62</f>
        <v>0</v>
      </c>
      <c r="T6" s="435">
        <f>'03A PV nájom bez proj. pomocné'!T62</f>
        <v>0</v>
      </c>
      <c r="U6" s="435">
        <f>'03A PV nájom bez proj. pomocné'!U62</f>
        <v>0</v>
      </c>
      <c r="V6" s="435">
        <f>'03A PV nájom bez proj. pomocné'!V62</f>
        <v>18000000</v>
      </c>
      <c r="W6" s="435">
        <f>'03A PV nájom bez proj. pomocné'!W62</f>
        <v>29000000</v>
      </c>
      <c r="X6" s="435">
        <f>'03A PV nájom bez proj. pomocné'!X62</f>
        <v>29000000</v>
      </c>
      <c r="Y6" s="435">
        <f>'03A PV nájom bez proj. pomocné'!Y62</f>
        <v>29000000</v>
      </c>
      <c r="Z6" s="435">
        <f>'03A PV nájom bez proj. pomocné'!Z62</f>
        <v>0</v>
      </c>
      <c r="AA6" s="435">
        <f>'03A PV nájom bez proj. pomocné'!AA62</f>
        <v>0</v>
      </c>
      <c r="AB6" s="435">
        <f>'03A PV nájom bez proj. pomocné'!AB62</f>
        <v>0</v>
      </c>
      <c r="AC6" s="435">
        <f>'03A PV nájom bez proj. pomocné'!AC62</f>
        <v>0</v>
      </c>
      <c r="AD6" s="435">
        <f>'03A PV nájom bez proj. pomocné'!AD62</f>
        <v>0</v>
      </c>
      <c r="AE6" s="435">
        <f>'03A PV nájom bez proj. pomocné'!AE62</f>
        <v>0</v>
      </c>
      <c r="AF6" s="435">
        <f>'03A PV nájom bez proj. pomocné'!AF62</f>
        <v>0</v>
      </c>
      <c r="AG6" s="435">
        <f>'03A PV nájom bez proj. pomocné'!AG62</f>
        <v>0</v>
      </c>
    </row>
    <row r="7" spans="2:33">
      <c r="B7" s="438" t="s">
        <v>350</v>
      </c>
      <c r="C7" s="437">
        <f t="shared" si="1"/>
        <v>3096975400</v>
      </c>
      <c r="D7" s="437">
        <f t="shared" ref="D7:AG7" si="2">SUM(D5:D6)</f>
        <v>86349180</v>
      </c>
      <c r="E7" s="437">
        <f t="shared" si="2"/>
        <v>86349180</v>
      </c>
      <c r="F7" s="437">
        <f t="shared" si="2"/>
        <v>86349180</v>
      </c>
      <c r="G7" s="437">
        <f t="shared" si="2"/>
        <v>153349180</v>
      </c>
      <c r="H7" s="437">
        <f t="shared" si="2"/>
        <v>197849180</v>
      </c>
      <c r="I7" s="437">
        <f t="shared" si="2"/>
        <v>197849180</v>
      </c>
      <c r="J7" s="437">
        <f t="shared" si="2"/>
        <v>197849180</v>
      </c>
      <c r="K7" s="437">
        <f t="shared" si="2"/>
        <v>86349180</v>
      </c>
      <c r="L7" s="437">
        <f t="shared" si="2"/>
        <v>86349180</v>
      </c>
      <c r="M7" s="437">
        <f t="shared" si="2"/>
        <v>86349180</v>
      </c>
      <c r="N7" s="437">
        <f t="shared" si="2"/>
        <v>86349180</v>
      </c>
      <c r="O7" s="437">
        <f t="shared" si="2"/>
        <v>86349180</v>
      </c>
      <c r="P7" s="437">
        <f t="shared" si="2"/>
        <v>86349180</v>
      </c>
      <c r="Q7" s="437">
        <f t="shared" si="2"/>
        <v>86349180</v>
      </c>
      <c r="R7" s="437">
        <f t="shared" si="2"/>
        <v>86349180</v>
      </c>
      <c r="S7" s="437">
        <f t="shared" si="2"/>
        <v>86349180</v>
      </c>
      <c r="T7" s="437">
        <f t="shared" si="2"/>
        <v>86349180</v>
      </c>
      <c r="U7" s="437">
        <f t="shared" si="2"/>
        <v>86349180</v>
      </c>
      <c r="V7" s="437">
        <f t="shared" si="2"/>
        <v>104349180</v>
      </c>
      <c r="W7" s="437">
        <f t="shared" si="2"/>
        <v>115349180</v>
      </c>
      <c r="X7" s="437">
        <f t="shared" si="2"/>
        <v>115349180</v>
      </c>
      <c r="Y7" s="437">
        <f t="shared" si="2"/>
        <v>115349180</v>
      </c>
      <c r="Z7" s="437">
        <f t="shared" si="2"/>
        <v>86349180</v>
      </c>
      <c r="AA7" s="437">
        <f t="shared" si="2"/>
        <v>86349180</v>
      </c>
      <c r="AB7" s="437">
        <f t="shared" si="2"/>
        <v>86349180</v>
      </c>
      <c r="AC7" s="437">
        <f t="shared" si="2"/>
        <v>86349180</v>
      </c>
      <c r="AD7" s="437">
        <f t="shared" si="2"/>
        <v>86349180</v>
      </c>
      <c r="AE7" s="437">
        <f t="shared" si="2"/>
        <v>86349180</v>
      </c>
      <c r="AF7" s="437">
        <f t="shared" si="2"/>
        <v>86349180</v>
      </c>
      <c r="AG7" s="437">
        <f t="shared" si="2"/>
        <v>86349180</v>
      </c>
    </row>
    <row r="8" spans="2:33">
      <c r="B8" s="436" t="s">
        <v>56</v>
      </c>
      <c r="C8" s="439">
        <f t="shared" si="1"/>
        <v>153188400</v>
      </c>
      <c r="D8" s="435">
        <f>'03A PV nájom bez proj. pomocné'!D64</f>
        <v>5106280</v>
      </c>
      <c r="E8" s="435">
        <f>'03A PV nájom bez proj. pomocné'!E64</f>
        <v>5106280</v>
      </c>
      <c r="F8" s="435">
        <f>'03A PV nájom bez proj. pomocné'!F64</f>
        <v>5106280</v>
      </c>
      <c r="G8" s="435">
        <f>'03A PV nájom bez proj. pomocné'!G64</f>
        <v>5106280</v>
      </c>
      <c r="H8" s="435">
        <f>'03A PV nájom bez proj. pomocné'!H64</f>
        <v>5106280</v>
      </c>
      <c r="I8" s="435">
        <f>'03A PV nájom bez proj. pomocné'!I64</f>
        <v>5106280</v>
      </c>
      <c r="J8" s="435">
        <f>'03A PV nájom bez proj. pomocné'!J64</f>
        <v>5106280</v>
      </c>
      <c r="K8" s="435">
        <f>'03A PV nájom bez proj. pomocné'!K64</f>
        <v>5106280</v>
      </c>
      <c r="L8" s="435">
        <f>'03A PV nájom bez proj. pomocné'!L64</f>
        <v>5106280</v>
      </c>
      <c r="M8" s="435">
        <f>'03A PV nájom bez proj. pomocné'!M64</f>
        <v>5106280</v>
      </c>
      <c r="N8" s="435">
        <f>'03A PV nájom bez proj. pomocné'!N64</f>
        <v>5106280</v>
      </c>
      <c r="O8" s="435">
        <f>'03A PV nájom bez proj. pomocné'!O64</f>
        <v>5106280</v>
      </c>
      <c r="P8" s="435">
        <f>'03A PV nájom bez proj. pomocné'!P64</f>
        <v>5106280</v>
      </c>
      <c r="Q8" s="435">
        <f>'03A PV nájom bez proj. pomocné'!Q64</f>
        <v>5106280</v>
      </c>
      <c r="R8" s="435">
        <f>'03A PV nájom bez proj. pomocné'!R64</f>
        <v>5106280</v>
      </c>
      <c r="S8" s="435">
        <f>'03A PV nájom bez proj. pomocné'!S64</f>
        <v>5106280</v>
      </c>
      <c r="T8" s="435">
        <f>'03A PV nájom bez proj. pomocné'!T64</f>
        <v>5106280</v>
      </c>
      <c r="U8" s="435">
        <f>'03A PV nájom bez proj. pomocné'!U64</f>
        <v>5106280</v>
      </c>
      <c r="V8" s="435">
        <f>'03A PV nájom bez proj. pomocné'!V64</f>
        <v>5106280</v>
      </c>
      <c r="W8" s="435">
        <f>'03A PV nájom bez proj. pomocné'!W64</f>
        <v>5106280</v>
      </c>
      <c r="X8" s="435">
        <f>'03A PV nájom bez proj. pomocné'!X64</f>
        <v>5106280</v>
      </c>
      <c r="Y8" s="435">
        <f>'03A PV nájom bez proj. pomocné'!Y64</f>
        <v>5106280</v>
      </c>
      <c r="Z8" s="435">
        <f>'03A PV nájom bez proj. pomocné'!Z64</f>
        <v>5106280</v>
      </c>
      <c r="AA8" s="435">
        <f>'03A PV nájom bez proj. pomocné'!AA64</f>
        <v>5106280</v>
      </c>
      <c r="AB8" s="435">
        <f>'03A PV nájom bez proj. pomocné'!AB64</f>
        <v>5106280</v>
      </c>
      <c r="AC8" s="435">
        <f>'03A PV nájom bez proj. pomocné'!AC64</f>
        <v>5106280</v>
      </c>
      <c r="AD8" s="435">
        <f>'03A PV nájom bez proj. pomocné'!AD64</f>
        <v>5106280</v>
      </c>
      <c r="AE8" s="435">
        <f>'03A PV nájom bez proj. pomocné'!AE64</f>
        <v>5106280</v>
      </c>
      <c r="AF8" s="435">
        <f>'03A PV nájom bez proj. pomocné'!AF64</f>
        <v>5106280</v>
      </c>
      <c r="AG8" s="435">
        <f>'03A PV nájom bez proj. pomocné'!AG64</f>
        <v>5106280</v>
      </c>
    </row>
    <row r="9" spans="2:33" ht="12" thickBot="1">
      <c r="B9" s="434" t="s">
        <v>54</v>
      </c>
      <c r="C9" s="433">
        <f t="shared" si="1"/>
        <v>153188400</v>
      </c>
      <c r="D9" s="433">
        <f t="shared" ref="D9:AG9" si="3">SUM(D8:D8)</f>
        <v>5106280</v>
      </c>
      <c r="E9" s="433">
        <f t="shared" si="3"/>
        <v>5106280</v>
      </c>
      <c r="F9" s="433">
        <f t="shared" si="3"/>
        <v>5106280</v>
      </c>
      <c r="G9" s="433">
        <f t="shared" si="3"/>
        <v>5106280</v>
      </c>
      <c r="H9" s="433">
        <f t="shared" si="3"/>
        <v>5106280</v>
      </c>
      <c r="I9" s="433">
        <f t="shared" si="3"/>
        <v>5106280</v>
      </c>
      <c r="J9" s="433">
        <f t="shared" si="3"/>
        <v>5106280</v>
      </c>
      <c r="K9" s="433">
        <f t="shared" si="3"/>
        <v>5106280</v>
      </c>
      <c r="L9" s="433">
        <f t="shared" si="3"/>
        <v>5106280</v>
      </c>
      <c r="M9" s="433">
        <f t="shared" si="3"/>
        <v>5106280</v>
      </c>
      <c r="N9" s="433">
        <f t="shared" si="3"/>
        <v>5106280</v>
      </c>
      <c r="O9" s="433">
        <f t="shared" si="3"/>
        <v>5106280</v>
      </c>
      <c r="P9" s="433">
        <f t="shared" si="3"/>
        <v>5106280</v>
      </c>
      <c r="Q9" s="433">
        <f t="shared" si="3"/>
        <v>5106280</v>
      </c>
      <c r="R9" s="433">
        <f t="shared" si="3"/>
        <v>5106280</v>
      </c>
      <c r="S9" s="433">
        <f t="shared" si="3"/>
        <v>5106280</v>
      </c>
      <c r="T9" s="433">
        <f t="shared" si="3"/>
        <v>5106280</v>
      </c>
      <c r="U9" s="433">
        <f t="shared" si="3"/>
        <v>5106280</v>
      </c>
      <c r="V9" s="433">
        <f t="shared" si="3"/>
        <v>5106280</v>
      </c>
      <c r="W9" s="433">
        <f t="shared" si="3"/>
        <v>5106280</v>
      </c>
      <c r="X9" s="433">
        <f t="shared" si="3"/>
        <v>5106280</v>
      </c>
      <c r="Y9" s="433">
        <f t="shared" si="3"/>
        <v>5106280</v>
      </c>
      <c r="Z9" s="433">
        <f t="shared" si="3"/>
        <v>5106280</v>
      </c>
      <c r="AA9" s="433">
        <f t="shared" si="3"/>
        <v>5106280</v>
      </c>
      <c r="AB9" s="433">
        <f t="shared" si="3"/>
        <v>5106280</v>
      </c>
      <c r="AC9" s="433">
        <f t="shared" si="3"/>
        <v>5106280</v>
      </c>
      <c r="AD9" s="433">
        <f t="shared" si="3"/>
        <v>5106280</v>
      </c>
      <c r="AE9" s="433">
        <f t="shared" si="3"/>
        <v>5106280</v>
      </c>
      <c r="AF9" s="433">
        <f t="shared" si="3"/>
        <v>5106280</v>
      </c>
      <c r="AG9" s="433">
        <f t="shared" si="3"/>
        <v>5106280</v>
      </c>
    </row>
    <row r="10" spans="2:33" ht="12" thickTop="1">
      <c r="B10" s="431" t="s">
        <v>53</v>
      </c>
      <c r="C10" s="430">
        <f t="shared" si="1"/>
        <v>3250163800</v>
      </c>
      <c r="D10" s="430">
        <f t="shared" ref="D10:AG10" si="4">SUM(D7,D9)</f>
        <v>91455460</v>
      </c>
      <c r="E10" s="430">
        <f t="shared" si="4"/>
        <v>91455460</v>
      </c>
      <c r="F10" s="430">
        <f t="shared" si="4"/>
        <v>91455460</v>
      </c>
      <c r="G10" s="430">
        <f t="shared" si="4"/>
        <v>158455460</v>
      </c>
      <c r="H10" s="430">
        <f t="shared" si="4"/>
        <v>202955460</v>
      </c>
      <c r="I10" s="430">
        <f t="shared" si="4"/>
        <v>202955460</v>
      </c>
      <c r="J10" s="430">
        <f t="shared" si="4"/>
        <v>202955460</v>
      </c>
      <c r="K10" s="430">
        <f t="shared" si="4"/>
        <v>91455460</v>
      </c>
      <c r="L10" s="430">
        <f t="shared" si="4"/>
        <v>91455460</v>
      </c>
      <c r="M10" s="430">
        <f t="shared" si="4"/>
        <v>91455460</v>
      </c>
      <c r="N10" s="430">
        <f t="shared" si="4"/>
        <v>91455460</v>
      </c>
      <c r="O10" s="430">
        <f t="shared" si="4"/>
        <v>91455460</v>
      </c>
      <c r="P10" s="430">
        <f t="shared" si="4"/>
        <v>91455460</v>
      </c>
      <c r="Q10" s="430">
        <f t="shared" si="4"/>
        <v>91455460</v>
      </c>
      <c r="R10" s="430">
        <f t="shared" si="4"/>
        <v>91455460</v>
      </c>
      <c r="S10" s="430">
        <f t="shared" si="4"/>
        <v>91455460</v>
      </c>
      <c r="T10" s="430">
        <f t="shared" si="4"/>
        <v>91455460</v>
      </c>
      <c r="U10" s="430">
        <f t="shared" si="4"/>
        <v>91455460</v>
      </c>
      <c r="V10" s="430">
        <f t="shared" si="4"/>
        <v>109455460</v>
      </c>
      <c r="W10" s="430">
        <f t="shared" si="4"/>
        <v>120455460</v>
      </c>
      <c r="X10" s="430">
        <f t="shared" si="4"/>
        <v>120455460</v>
      </c>
      <c r="Y10" s="430">
        <f t="shared" si="4"/>
        <v>120455460</v>
      </c>
      <c r="Z10" s="430">
        <f t="shared" si="4"/>
        <v>91455460</v>
      </c>
      <c r="AA10" s="430">
        <f t="shared" si="4"/>
        <v>91455460</v>
      </c>
      <c r="AB10" s="430">
        <f t="shared" si="4"/>
        <v>91455460</v>
      </c>
      <c r="AC10" s="430">
        <f t="shared" si="4"/>
        <v>91455460</v>
      </c>
      <c r="AD10" s="430">
        <f t="shared" si="4"/>
        <v>91455460</v>
      </c>
      <c r="AE10" s="430">
        <f t="shared" si="4"/>
        <v>91455460</v>
      </c>
      <c r="AF10" s="430">
        <f t="shared" si="4"/>
        <v>91455460</v>
      </c>
      <c r="AG10" s="430">
        <f t="shared" si="4"/>
        <v>91455460</v>
      </c>
    </row>
    <row r="13" spans="2:33">
      <c r="C13" s="436"/>
      <c r="D13" s="436" t="s">
        <v>10</v>
      </c>
      <c r="E13" s="436"/>
      <c r="F13" s="436"/>
      <c r="G13" s="436"/>
      <c r="H13" s="436"/>
      <c r="I13" s="436"/>
      <c r="J13" s="436"/>
      <c r="K13" s="436"/>
      <c r="L13" s="436"/>
      <c r="M13" s="436"/>
      <c r="N13" s="436"/>
      <c r="O13" s="436"/>
      <c r="P13" s="436"/>
      <c r="Q13" s="436"/>
      <c r="R13" s="436"/>
      <c r="S13" s="436"/>
      <c r="T13" s="436"/>
      <c r="U13" s="436"/>
      <c r="V13" s="436"/>
      <c r="W13" s="436"/>
      <c r="X13" s="436"/>
      <c r="Y13" s="436"/>
      <c r="Z13" s="436"/>
      <c r="AA13" s="436"/>
      <c r="AB13" s="436"/>
      <c r="AC13" s="436"/>
      <c r="AD13" s="436"/>
      <c r="AE13" s="436"/>
      <c r="AF13" s="436"/>
      <c r="AG13" s="436"/>
    </row>
    <row r="14" spans="2:33">
      <c r="B14" s="438" t="s">
        <v>57</v>
      </c>
      <c r="C14" s="438"/>
      <c r="D14" s="442">
        <v>1</v>
      </c>
      <c r="E14" s="442">
        <v>2</v>
      </c>
      <c r="F14" s="442">
        <v>3</v>
      </c>
      <c r="G14" s="442">
        <v>4</v>
      </c>
      <c r="H14" s="442">
        <v>5</v>
      </c>
      <c r="I14" s="442">
        <v>6</v>
      </c>
      <c r="J14" s="442">
        <v>7</v>
      </c>
      <c r="K14" s="442">
        <v>8</v>
      </c>
      <c r="L14" s="442">
        <v>9</v>
      </c>
      <c r="M14" s="442">
        <v>10</v>
      </c>
      <c r="N14" s="442">
        <v>11</v>
      </c>
      <c r="O14" s="442">
        <v>12</v>
      </c>
      <c r="P14" s="442">
        <v>13</v>
      </c>
      <c r="Q14" s="442">
        <v>14</v>
      </c>
      <c r="R14" s="442">
        <v>15</v>
      </c>
      <c r="S14" s="442">
        <v>16</v>
      </c>
      <c r="T14" s="442">
        <v>17</v>
      </c>
      <c r="U14" s="442">
        <v>18</v>
      </c>
      <c r="V14" s="442">
        <v>19</v>
      </c>
      <c r="W14" s="442">
        <v>20</v>
      </c>
      <c r="X14" s="442">
        <v>21</v>
      </c>
      <c r="Y14" s="442">
        <v>22</v>
      </c>
      <c r="Z14" s="442">
        <v>23</v>
      </c>
      <c r="AA14" s="442">
        <v>24</v>
      </c>
      <c r="AB14" s="442">
        <v>25</v>
      </c>
      <c r="AC14" s="442">
        <v>26</v>
      </c>
      <c r="AD14" s="442">
        <v>27</v>
      </c>
      <c r="AE14" s="442">
        <v>28</v>
      </c>
      <c r="AF14" s="442">
        <v>29</v>
      </c>
      <c r="AG14" s="442">
        <v>30</v>
      </c>
    </row>
    <row r="15" spans="2:33">
      <c r="B15" s="441" t="s">
        <v>33</v>
      </c>
      <c r="C15" s="441" t="s">
        <v>9</v>
      </c>
      <c r="D15" s="440">
        <f>D4</f>
        <v>2023</v>
      </c>
      <c r="E15" s="440">
        <f>$D$4+D14</f>
        <v>2024</v>
      </c>
      <c r="F15" s="440">
        <f>$D$4+E14</f>
        <v>2025</v>
      </c>
      <c r="G15" s="440">
        <f>$D$4+F14</f>
        <v>2026</v>
      </c>
      <c r="H15" s="440">
        <f t="shared" ref="H15:AG15" si="5">$D$4+G14</f>
        <v>2027</v>
      </c>
      <c r="I15" s="440">
        <f t="shared" si="5"/>
        <v>2028</v>
      </c>
      <c r="J15" s="440">
        <f t="shared" si="5"/>
        <v>2029</v>
      </c>
      <c r="K15" s="440">
        <f t="shared" si="5"/>
        <v>2030</v>
      </c>
      <c r="L15" s="440">
        <f t="shared" si="5"/>
        <v>2031</v>
      </c>
      <c r="M15" s="440">
        <f t="shared" si="5"/>
        <v>2032</v>
      </c>
      <c r="N15" s="440">
        <f t="shared" si="5"/>
        <v>2033</v>
      </c>
      <c r="O15" s="440">
        <f t="shared" si="5"/>
        <v>2034</v>
      </c>
      <c r="P15" s="440">
        <f t="shared" si="5"/>
        <v>2035</v>
      </c>
      <c r="Q15" s="440">
        <f t="shared" si="5"/>
        <v>2036</v>
      </c>
      <c r="R15" s="440">
        <f t="shared" si="5"/>
        <v>2037</v>
      </c>
      <c r="S15" s="440">
        <f t="shared" si="5"/>
        <v>2038</v>
      </c>
      <c r="T15" s="440">
        <f t="shared" si="5"/>
        <v>2039</v>
      </c>
      <c r="U15" s="440">
        <f t="shared" si="5"/>
        <v>2040</v>
      </c>
      <c r="V15" s="440">
        <f t="shared" si="5"/>
        <v>2041</v>
      </c>
      <c r="W15" s="440">
        <f t="shared" si="5"/>
        <v>2042</v>
      </c>
      <c r="X15" s="440">
        <f t="shared" si="5"/>
        <v>2043</v>
      </c>
      <c r="Y15" s="440">
        <f t="shared" si="5"/>
        <v>2044</v>
      </c>
      <c r="Z15" s="440">
        <f t="shared" si="5"/>
        <v>2045</v>
      </c>
      <c r="AA15" s="440">
        <f t="shared" si="5"/>
        <v>2046</v>
      </c>
      <c r="AB15" s="440">
        <f t="shared" si="5"/>
        <v>2047</v>
      </c>
      <c r="AC15" s="440">
        <f t="shared" si="5"/>
        <v>2048</v>
      </c>
      <c r="AD15" s="440">
        <f t="shared" si="5"/>
        <v>2049</v>
      </c>
      <c r="AE15" s="440">
        <f t="shared" si="5"/>
        <v>2050</v>
      </c>
      <c r="AF15" s="440">
        <f t="shared" si="5"/>
        <v>2051</v>
      </c>
      <c r="AG15" s="440">
        <f t="shared" si="5"/>
        <v>2052</v>
      </c>
    </row>
    <row r="16" spans="2:33">
      <c r="B16" s="436" t="s">
        <v>353</v>
      </c>
      <c r="C16" s="439">
        <f t="shared" ref="C16:C21" si="6">SUM(D16:AG16)</f>
        <v>3757257650</v>
      </c>
      <c r="D16" s="435">
        <f>'03B PV nájom s proj. pomocné'!D92</f>
        <v>86349180</v>
      </c>
      <c r="E16" s="435">
        <f>'03B PV nájom s proj. pomocné'!E92</f>
        <v>86349180</v>
      </c>
      <c r="F16" s="435">
        <f>'03B PV nájom s proj. pomocné'!F92</f>
        <v>85764380</v>
      </c>
      <c r="G16" s="435">
        <f>'03B PV nájom s proj. pomocné'!G92</f>
        <v>91503580</v>
      </c>
      <c r="H16" s="435">
        <f>'03B PV nájom s proj. pomocné'!H92</f>
        <v>110878830</v>
      </c>
      <c r="I16" s="435">
        <f>'03B PV nájom s proj. pomocné'!I92</f>
        <v>131856500.00000001</v>
      </c>
      <c r="J16" s="435">
        <f>'03B PV nájom s proj. pomocné'!J92</f>
        <v>131856500.00000001</v>
      </c>
      <c r="K16" s="435">
        <f>'03B PV nájom s proj. pomocné'!K92</f>
        <v>131856500.00000001</v>
      </c>
      <c r="L16" s="435">
        <f>'03B PV nájom s proj. pomocné'!L92</f>
        <v>131856500.00000001</v>
      </c>
      <c r="M16" s="435">
        <f>'03B PV nájom s proj. pomocné'!M92</f>
        <v>131856500.00000001</v>
      </c>
      <c r="N16" s="435">
        <f>'03B PV nájom s proj. pomocné'!N92</f>
        <v>131856500.00000001</v>
      </c>
      <c r="O16" s="435">
        <f>'03B PV nájom s proj. pomocné'!O92</f>
        <v>131856500.00000001</v>
      </c>
      <c r="P16" s="435">
        <f>'03B PV nájom s proj. pomocné'!P92</f>
        <v>131856500.00000001</v>
      </c>
      <c r="Q16" s="435">
        <f>'03B PV nájom s proj. pomocné'!Q92</f>
        <v>131856500.00000001</v>
      </c>
      <c r="R16" s="435">
        <f>'03B PV nájom s proj. pomocné'!R92</f>
        <v>131856500.00000001</v>
      </c>
      <c r="S16" s="435">
        <f>'03B PV nájom s proj. pomocné'!S92</f>
        <v>131856500.00000001</v>
      </c>
      <c r="T16" s="435">
        <f>'03B PV nájom s proj. pomocné'!T92</f>
        <v>131856500.00000001</v>
      </c>
      <c r="U16" s="435">
        <f>'03B PV nájom s proj. pomocné'!U92</f>
        <v>131856500.00000001</v>
      </c>
      <c r="V16" s="435">
        <f>'03B PV nájom s proj. pomocné'!V92</f>
        <v>131856500.00000001</v>
      </c>
      <c r="W16" s="435">
        <f>'03B PV nájom s proj. pomocné'!W92</f>
        <v>131856500.00000001</v>
      </c>
      <c r="X16" s="435">
        <f>'03B PV nájom s proj. pomocné'!X92</f>
        <v>131856500.00000001</v>
      </c>
      <c r="Y16" s="435">
        <f>'03B PV nájom s proj. pomocné'!Y92</f>
        <v>131856500.00000001</v>
      </c>
      <c r="Z16" s="435">
        <f>'03B PV nájom s proj. pomocné'!Z92</f>
        <v>131856500.00000001</v>
      </c>
      <c r="AA16" s="435">
        <f>'03B PV nájom s proj. pomocné'!AA92</f>
        <v>131856500.00000001</v>
      </c>
      <c r="AB16" s="435">
        <f>'03B PV nájom s proj. pomocné'!AB92</f>
        <v>131856500.00000001</v>
      </c>
      <c r="AC16" s="435">
        <f>'03B PV nájom s proj. pomocné'!AC92</f>
        <v>131856500.00000001</v>
      </c>
      <c r="AD16" s="435">
        <f>'03B PV nájom s proj. pomocné'!AD92</f>
        <v>131856500.00000001</v>
      </c>
      <c r="AE16" s="435">
        <f>'03B PV nájom s proj. pomocné'!AE92</f>
        <v>131856500.00000001</v>
      </c>
      <c r="AF16" s="435">
        <f>'03B PV nájom s proj. pomocné'!AF92</f>
        <v>131856500.00000001</v>
      </c>
      <c r="AG16" s="435">
        <f>'03B PV nájom s proj. pomocné'!AG92</f>
        <v>131856500.00000001</v>
      </c>
    </row>
    <row r="17" spans="2:33">
      <c r="B17" s="436" t="s">
        <v>351</v>
      </c>
      <c r="C17" s="439">
        <f t="shared" si="6"/>
        <v>0</v>
      </c>
      <c r="D17" s="435">
        <f>'03B PV nájom s proj. pomocné'!D93</f>
        <v>0</v>
      </c>
      <c r="E17" s="435">
        <f>'03B PV nájom s proj. pomocné'!E93</f>
        <v>0</v>
      </c>
      <c r="F17" s="435">
        <f>'03B PV nájom s proj. pomocné'!F93</f>
        <v>0</v>
      </c>
      <c r="G17" s="435">
        <f>'03B PV nájom s proj. pomocné'!G93</f>
        <v>0</v>
      </c>
      <c r="H17" s="435">
        <f>'03B PV nájom s proj. pomocné'!H93</f>
        <v>0</v>
      </c>
      <c r="I17" s="435">
        <f>'03B PV nájom s proj. pomocné'!I93</f>
        <v>0</v>
      </c>
      <c r="J17" s="435">
        <f>'03B PV nájom s proj. pomocné'!J93</f>
        <v>0</v>
      </c>
      <c r="K17" s="435">
        <f>'03B PV nájom s proj. pomocné'!K93</f>
        <v>0</v>
      </c>
      <c r="L17" s="435">
        <f>'03B PV nájom s proj. pomocné'!L93</f>
        <v>0</v>
      </c>
      <c r="M17" s="435">
        <f>'03B PV nájom s proj. pomocné'!M93</f>
        <v>0</v>
      </c>
      <c r="N17" s="435">
        <f>'03B PV nájom s proj. pomocné'!N93</f>
        <v>0</v>
      </c>
      <c r="O17" s="435">
        <f>'03B PV nájom s proj. pomocné'!O93</f>
        <v>0</v>
      </c>
      <c r="P17" s="435">
        <f>'03B PV nájom s proj. pomocné'!P93</f>
        <v>0</v>
      </c>
      <c r="Q17" s="435">
        <f>'03B PV nájom s proj. pomocné'!Q93</f>
        <v>0</v>
      </c>
      <c r="R17" s="435">
        <f>'03B PV nájom s proj. pomocné'!R93</f>
        <v>0</v>
      </c>
      <c r="S17" s="435">
        <f>'03B PV nájom s proj. pomocné'!S93</f>
        <v>0</v>
      </c>
      <c r="T17" s="435">
        <f>'03B PV nájom s proj. pomocné'!T93</f>
        <v>0</v>
      </c>
      <c r="U17" s="435">
        <f>'03B PV nájom s proj. pomocné'!U93</f>
        <v>0</v>
      </c>
      <c r="V17" s="435">
        <f>'03B PV nájom s proj. pomocné'!V93</f>
        <v>0</v>
      </c>
      <c r="W17" s="435">
        <f>'03B PV nájom s proj. pomocné'!W93</f>
        <v>0</v>
      </c>
      <c r="X17" s="435">
        <f>'03B PV nájom s proj. pomocné'!X93</f>
        <v>0</v>
      </c>
      <c r="Y17" s="435">
        <f>'03B PV nájom s proj. pomocné'!Y93</f>
        <v>0</v>
      </c>
      <c r="Z17" s="435">
        <f>'03B PV nájom s proj. pomocné'!Z93</f>
        <v>0</v>
      </c>
      <c r="AA17" s="435">
        <f>'03B PV nájom s proj. pomocné'!AA93</f>
        <v>0</v>
      </c>
      <c r="AB17" s="435">
        <f>'03B PV nájom s proj. pomocné'!AB93</f>
        <v>0</v>
      </c>
      <c r="AC17" s="435">
        <f>'03B PV nájom s proj. pomocné'!AC93</f>
        <v>0</v>
      </c>
      <c r="AD17" s="435">
        <f>'03B PV nájom s proj. pomocné'!AD93</f>
        <v>0</v>
      </c>
      <c r="AE17" s="435">
        <f>'03B PV nájom s proj. pomocné'!AE93</f>
        <v>0</v>
      </c>
      <c r="AF17" s="435">
        <f>'03B PV nájom s proj. pomocné'!AF93</f>
        <v>0</v>
      </c>
      <c r="AG17" s="435">
        <f>'03B PV nájom s proj. pomocné'!AG93</f>
        <v>0</v>
      </c>
    </row>
    <row r="18" spans="2:33">
      <c r="B18" s="438" t="s">
        <v>350</v>
      </c>
      <c r="C18" s="437">
        <f t="shared" si="6"/>
        <v>3757257650</v>
      </c>
      <c r="D18" s="437">
        <f t="shared" ref="D18:AG18" si="7">SUM(D16:D17)</f>
        <v>86349180</v>
      </c>
      <c r="E18" s="437">
        <f t="shared" si="7"/>
        <v>86349180</v>
      </c>
      <c r="F18" s="437">
        <f t="shared" si="7"/>
        <v>85764380</v>
      </c>
      <c r="G18" s="437">
        <f t="shared" si="7"/>
        <v>91503580</v>
      </c>
      <c r="H18" s="437">
        <f t="shared" si="7"/>
        <v>110878830</v>
      </c>
      <c r="I18" s="437">
        <f t="shared" si="7"/>
        <v>131856500.00000001</v>
      </c>
      <c r="J18" s="437">
        <f t="shared" si="7"/>
        <v>131856500.00000001</v>
      </c>
      <c r="K18" s="437">
        <f t="shared" si="7"/>
        <v>131856500.00000001</v>
      </c>
      <c r="L18" s="437">
        <f t="shared" si="7"/>
        <v>131856500.00000001</v>
      </c>
      <c r="M18" s="437">
        <f t="shared" si="7"/>
        <v>131856500.00000001</v>
      </c>
      <c r="N18" s="437">
        <f t="shared" si="7"/>
        <v>131856500.00000001</v>
      </c>
      <c r="O18" s="437">
        <f t="shared" si="7"/>
        <v>131856500.00000001</v>
      </c>
      <c r="P18" s="437">
        <f t="shared" si="7"/>
        <v>131856500.00000001</v>
      </c>
      <c r="Q18" s="437">
        <f t="shared" si="7"/>
        <v>131856500.00000001</v>
      </c>
      <c r="R18" s="437">
        <f t="shared" si="7"/>
        <v>131856500.00000001</v>
      </c>
      <c r="S18" s="437">
        <f t="shared" si="7"/>
        <v>131856500.00000001</v>
      </c>
      <c r="T18" s="437">
        <f t="shared" si="7"/>
        <v>131856500.00000001</v>
      </c>
      <c r="U18" s="437">
        <f t="shared" si="7"/>
        <v>131856500.00000001</v>
      </c>
      <c r="V18" s="437">
        <f t="shared" si="7"/>
        <v>131856500.00000001</v>
      </c>
      <c r="W18" s="437">
        <f t="shared" si="7"/>
        <v>131856500.00000001</v>
      </c>
      <c r="X18" s="437">
        <f t="shared" si="7"/>
        <v>131856500.00000001</v>
      </c>
      <c r="Y18" s="437">
        <f t="shared" si="7"/>
        <v>131856500.00000001</v>
      </c>
      <c r="Z18" s="437">
        <f t="shared" si="7"/>
        <v>131856500.00000001</v>
      </c>
      <c r="AA18" s="437">
        <f t="shared" si="7"/>
        <v>131856500.00000001</v>
      </c>
      <c r="AB18" s="437">
        <f t="shared" si="7"/>
        <v>131856500.00000001</v>
      </c>
      <c r="AC18" s="437">
        <f t="shared" si="7"/>
        <v>131856500.00000001</v>
      </c>
      <c r="AD18" s="437">
        <f t="shared" si="7"/>
        <v>131856500.00000001</v>
      </c>
      <c r="AE18" s="437">
        <f t="shared" si="7"/>
        <v>131856500.00000001</v>
      </c>
      <c r="AF18" s="437">
        <f t="shared" si="7"/>
        <v>131856500.00000001</v>
      </c>
      <c r="AG18" s="437">
        <f t="shared" si="7"/>
        <v>131856500.00000001</v>
      </c>
    </row>
    <row r="19" spans="2:33">
      <c r="B19" s="436" t="s">
        <v>56</v>
      </c>
      <c r="C19" s="439">
        <f t="shared" si="6"/>
        <v>179048320</v>
      </c>
      <c r="D19" s="435">
        <f>'03B PV nájom s proj. pomocné'!D95</f>
        <v>5106280</v>
      </c>
      <c r="E19" s="435">
        <f>'03B PV nájom s proj. pomocné'!E95</f>
        <v>5106280</v>
      </c>
      <c r="F19" s="435">
        <f>'03B PV nájom s proj. pomocné'!F95</f>
        <v>5041040</v>
      </c>
      <c r="G19" s="435">
        <f>'03B PV nájom s proj. pomocné'!G95</f>
        <v>5000400</v>
      </c>
      <c r="H19" s="435">
        <f>'03B PV nájom s proj. pomocné'!H95</f>
        <v>5644320.0000000009</v>
      </c>
      <c r="I19" s="435">
        <f>'03B PV nájom s proj. pomocné'!I95</f>
        <v>6126000</v>
      </c>
      <c r="J19" s="435">
        <f>'03B PV nájom s proj. pomocné'!J95</f>
        <v>6126000</v>
      </c>
      <c r="K19" s="435">
        <f>'03B PV nájom s proj. pomocné'!K95</f>
        <v>6126000</v>
      </c>
      <c r="L19" s="435">
        <f>'03B PV nájom s proj. pomocné'!L95</f>
        <v>6126000</v>
      </c>
      <c r="M19" s="435">
        <f>'03B PV nájom s proj. pomocné'!M95</f>
        <v>6126000</v>
      </c>
      <c r="N19" s="435">
        <f>'03B PV nájom s proj. pomocné'!N95</f>
        <v>6126000</v>
      </c>
      <c r="O19" s="435">
        <f>'03B PV nájom s proj. pomocné'!O95</f>
        <v>6126000</v>
      </c>
      <c r="P19" s="435">
        <f>'03B PV nájom s proj. pomocné'!P95</f>
        <v>6126000</v>
      </c>
      <c r="Q19" s="435">
        <f>'03B PV nájom s proj. pomocné'!Q95</f>
        <v>6126000</v>
      </c>
      <c r="R19" s="435">
        <f>'03B PV nájom s proj. pomocné'!R95</f>
        <v>6126000</v>
      </c>
      <c r="S19" s="435">
        <f>'03B PV nájom s proj. pomocné'!S95</f>
        <v>6126000</v>
      </c>
      <c r="T19" s="435">
        <f>'03B PV nájom s proj. pomocné'!T95</f>
        <v>6126000</v>
      </c>
      <c r="U19" s="435">
        <f>'03B PV nájom s proj. pomocné'!U95</f>
        <v>6126000</v>
      </c>
      <c r="V19" s="435">
        <f>'03B PV nájom s proj. pomocné'!V95</f>
        <v>6126000</v>
      </c>
      <c r="W19" s="435">
        <f>'03B PV nájom s proj. pomocné'!W95</f>
        <v>6126000</v>
      </c>
      <c r="X19" s="435">
        <f>'03B PV nájom s proj. pomocné'!X95</f>
        <v>6126000</v>
      </c>
      <c r="Y19" s="435">
        <f>'03B PV nájom s proj. pomocné'!Y95</f>
        <v>6126000</v>
      </c>
      <c r="Z19" s="435">
        <f>'03B PV nájom s proj. pomocné'!Z95</f>
        <v>6126000</v>
      </c>
      <c r="AA19" s="435">
        <f>'03B PV nájom s proj. pomocné'!AA95</f>
        <v>6126000</v>
      </c>
      <c r="AB19" s="435">
        <f>'03B PV nájom s proj. pomocné'!AB95</f>
        <v>6126000</v>
      </c>
      <c r="AC19" s="435">
        <f>'03B PV nájom s proj. pomocné'!AC95</f>
        <v>6126000</v>
      </c>
      <c r="AD19" s="435">
        <f>'03B PV nájom s proj. pomocné'!AD95</f>
        <v>6126000</v>
      </c>
      <c r="AE19" s="435">
        <f>'03B PV nájom s proj. pomocné'!AE95</f>
        <v>6126000</v>
      </c>
      <c r="AF19" s="435">
        <f>'03B PV nájom s proj. pomocné'!AF95</f>
        <v>6126000</v>
      </c>
      <c r="AG19" s="435">
        <f>'03B PV nájom s proj. pomocné'!AG95</f>
        <v>6126000</v>
      </c>
    </row>
    <row r="20" spans="2:33" ht="12" thickBot="1">
      <c r="B20" s="434" t="s">
        <v>54</v>
      </c>
      <c r="C20" s="433">
        <f t="shared" si="6"/>
        <v>179048320</v>
      </c>
      <c r="D20" s="433">
        <f t="shared" ref="D20:AG20" si="8">SUM(D19:D19)</f>
        <v>5106280</v>
      </c>
      <c r="E20" s="433">
        <f t="shared" si="8"/>
        <v>5106280</v>
      </c>
      <c r="F20" s="433">
        <f t="shared" si="8"/>
        <v>5041040</v>
      </c>
      <c r="G20" s="433">
        <f t="shared" si="8"/>
        <v>5000400</v>
      </c>
      <c r="H20" s="433">
        <f t="shared" si="8"/>
        <v>5644320.0000000009</v>
      </c>
      <c r="I20" s="433">
        <f t="shared" si="8"/>
        <v>6126000</v>
      </c>
      <c r="J20" s="433">
        <f t="shared" si="8"/>
        <v>6126000</v>
      </c>
      <c r="K20" s="433">
        <f t="shared" si="8"/>
        <v>6126000</v>
      </c>
      <c r="L20" s="433">
        <f t="shared" si="8"/>
        <v>6126000</v>
      </c>
      <c r="M20" s="433">
        <f t="shared" si="8"/>
        <v>6126000</v>
      </c>
      <c r="N20" s="433">
        <f t="shared" si="8"/>
        <v>6126000</v>
      </c>
      <c r="O20" s="433">
        <f t="shared" si="8"/>
        <v>6126000</v>
      </c>
      <c r="P20" s="433">
        <f t="shared" si="8"/>
        <v>6126000</v>
      </c>
      <c r="Q20" s="433">
        <f t="shared" si="8"/>
        <v>6126000</v>
      </c>
      <c r="R20" s="433">
        <f t="shared" si="8"/>
        <v>6126000</v>
      </c>
      <c r="S20" s="433">
        <f t="shared" si="8"/>
        <v>6126000</v>
      </c>
      <c r="T20" s="433">
        <f t="shared" si="8"/>
        <v>6126000</v>
      </c>
      <c r="U20" s="433">
        <f t="shared" si="8"/>
        <v>6126000</v>
      </c>
      <c r="V20" s="433">
        <f t="shared" si="8"/>
        <v>6126000</v>
      </c>
      <c r="W20" s="433">
        <f t="shared" si="8"/>
        <v>6126000</v>
      </c>
      <c r="X20" s="433">
        <f t="shared" si="8"/>
        <v>6126000</v>
      </c>
      <c r="Y20" s="433">
        <f t="shared" si="8"/>
        <v>6126000</v>
      </c>
      <c r="Z20" s="433">
        <f t="shared" si="8"/>
        <v>6126000</v>
      </c>
      <c r="AA20" s="433">
        <f t="shared" si="8"/>
        <v>6126000</v>
      </c>
      <c r="AB20" s="433">
        <f t="shared" si="8"/>
        <v>6126000</v>
      </c>
      <c r="AC20" s="433">
        <f t="shared" si="8"/>
        <v>6126000</v>
      </c>
      <c r="AD20" s="433">
        <f t="shared" si="8"/>
        <v>6126000</v>
      </c>
      <c r="AE20" s="433">
        <f t="shared" si="8"/>
        <v>6126000</v>
      </c>
      <c r="AF20" s="433">
        <f t="shared" si="8"/>
        <v>6126000</v>
      </c>
      <c r="AG20" s="433">
        <f t="shared" si="8"/>
        <v>6126000</v>
      </c>
    </row>
    <row r="21" spans="2:33" ht="12" thickTop="1">
      <c r="B21" s="431" t="s">
        <v>53</v>
      </c>
      <c r="C21" s="430">
        <f t="shared" si="6"/>
        <v>3936305970</v>
      </c>
      <c r="D21" s="430">
        <f t="shared" ref="D21:AG21" si="9">SUM(D18,D20)</f>
        <v>91455460</v>
      </c>
      <c r="E21" s="430">
        <f t="shared" si="9"/>
        <v>91455460</v>
      </c>
      <c r="F21" s="430">
        <f t="shared" si="9"/>
        <v>90805420</v>
      </c>
      <c r="G21" s="430">
        <f t="shared" si="9"/>
        <v>96503980</v>
      </c>
      <c r="H21" s="430">
        <f t="shared" si="9"/>
        <v>116523150</v>
      </c>
      <c r="I21" s="430">
        <f t="shared" si="9"/>
        <v>137982500</v>
      </c>
      <c r="J21" s="430">
        <f t="shared" si="9"/>
        <v>137982500</v>
      </c>
      <c r="K21" s="430">
        <f t="shared" si="9"/>
        <v>137982500</v>
      </c>
      <c r="L21" s="430">
        <f t="shared" si="9"/>
        <v>137982500</v>
      </c>
      <c r="M21" s="430">
        <f t="shared" si="9"/>
        <v>137982500</v>
      </c>
      <c r="N21" s="430">
        <f t="shared" si="9"/>
        <v>137982500</v>
      </c>
      <c r="O21" s="430">
        <f t="shared" si="9"/>
        <v>137982500</v>
      </c>
      <c r="P21" s="430">
        <f t="shared" si="9"/>
        <v>137982500</v>
      </c>
      <c r="Q21" s="430">
        <f t="shared" si="9"/>
        <v>137982500</v>
      </c>
      <c r="R21" s="430">
        <f t="shared" si="9"/>
        <v>137982500</v>
      </c>
      <c r="S21" s="430">
        <f t="shared" si="9"/>
        <v>137982500</v>
      </c>
      <c r="T21" s="430">
        <f t="shared" si="9"/>
        <v>137982500</v>
      </c>
      <c r="U21" s="430">
        <f t="shared" si="9"/>
        <v>137982500</v>
      </c>
      <c r="V21" s="430">
        <f t="shared" si="9"/>
        <v>137982500</v>
      </c>
      <c r="W21" s="430">
        <f t="shared" si="9"/>
        <v>137982500</v>
      </c>
      <c r="X21" s="430">
        <f t="shared" si="9"/>
        <v>137982500</v>
      </c>
      <c r="Y21" s="430">
        <f t="shared" si="9"/>
        <v>137982500</v>
      </c>
      <c r="Z21" s="430">
        <f t="shared" si="9"/>
        <v>137982500</v>
      </c>
      <c r="AA21" s="430">
        <f t="shared" si="9"/>
        <v>137982500</v>
      </c>
      <c r="AB21" s="430">
        <f t="shared" si="9"/>
        <v>137982500</v>
      </c>
      <c r="AC21" s="430">
        <f t="shared" si="9"/>
        <v>137982500</v>
      </c>
      <c r="AD21" s="430">
        <f t="shared" si="9"/>
        <v>137982500</v>
      </c>
      <c r="AE21" s="430">
        <f t="shared" si="9"/>
        <v>137982500</v>
      </c>
      <c r="AF21" s="430">
        <f t="shared" si="9"/>
        <v>137982500</v>
      </c>
      <c r="AG21" s="430">
        <f t="shared" si="9"/>
        <v>137982500</v>
      </c>
    </row>
    <row r="24" spans="2:33">
      <c r="C24" s="436"/>
      <c r="D24" s="436" t="s">
        <v>10</v>
      </c>
      <c r="E24" s="436"/>
      <c r="F24" s="436"/>
      <c r="G24" s="436"/>
      <c r="H24" s="436"/>
      <c r="I24" s="436"/>
      <c r="J24" s="436"/>
      <c r="K24" s="436"/>
      <c r="L24" s="436"/>
      <c r="M24" s="436"/>
      <c r="N24" s="436"/>
      <c r="O24" s="436"/>
      <c r="P24" s="436"/>
      <c r="Q24" s="436"/>
      <c r="R24" s="436"/>
      <c r="S24" s="436"/>
      <c r="T24" s="436"/>
      <c r="U24" s="436"/>
      <c r="V24" s="436"/>
      <c r="W24" s="436"/>
      <c r="X24" s="436"/>
      <c r="Y24" s="436"/>
      <c r="Z24" s="436"/>
      <c r="AA24" s="436"/>
      <c r="AB24" s="436"/>
      <c r="AC24" s="436"/>
      <c r="AD24" s="436"/>
      <c r="AE24" s="436"/>
      <c r="AF24" s="436"/>
      <c r="AG24" s="436"/>
    </row>
    <row r="25" spans="2:33">
      <c r="B25" s="438" t="s">
        <v>58</v>
      </c>
      <c r="C25" s="438"/>
      <c r="D25" s="436">
        <v>1</v>
      </c>
      <c r="E25" s="436">
        <v>2</v>
      </c>
      <c r="F25" s="436">
        <v>3</v>
      </c>
      <c r="G25" s="436">
        <v>4</v>
      </c>
      <c r="H25" s="436">
        <v>5</v>
      </c>
      <c r="I25" s="436">
        <v>6</v>
      </c>
      <c r="J25" s="436">
        <v>7</v>
      </c>
      <c r="K25" s="436">
        <v>8</v>
      </c>
      <c r="L25" s="436">
        <v>9</v>
      </c>
      <c r="M25" s="436">
        <v>10</v>
      </c>
      <c r="N25" s="436">
        <v>11</v>
      </c>
      <c r="O25" s="436">
        <v>12</v>
      </c>
      <c r="P25" s="436">
        <v>13</v>
      </c>
      <c r="Q25" s="436">
        <v>14</v>
      </c>
      <c r="R25" s="436">
        <v>15</v>
      </c>
      <c r="S25" s="436">
        <v>16</v>
      </c>
      <c r="T25" s="436">
        <v>17</v>
      </c>
      <c r="U25" s="436">
        <v>18</v>
      </c>
      <c r="V25" s="436">
        <v>19</v>
      </c>
      <c r="W25" s="436">
        <v>20</v>
      </c>
      <c r="X25" s="436">
        <v>21</v>
      </c>
      <c r="Y25" s="436">
        <v>22</v>
      </c>
      <c r="Z25" s="436">
        <v>23</v>
      </c>
      <c r="AA25" s="436">
        <v>24</v>
      </c>
      <c r="AB25" s="436">
        <v>25</v>
      </c>
      <c r="AC25" s="436">
        <v>26</v>
      </c>
      <c r="AD25" s="436">
        <v>27</v>
      </c>
      <c r="AE25" s="436">
        <v>28</v>
      </c>
      <c r="AF25" s="436">
        <v>29</v>
      </c>
      <c r="AG25" s="436">
        <v>30</v>
      </c>
    </row>
    <row r="26" spans="2:33">
      <c r="B26" s="556" t="s">
        <v>41</v>
      </c>
      <c r="C26" s="556" t="s">
        <v>9</v>
      </c>
      <c r="D26" s="557">
        <f t="shared" ref="D26:AG26" si="10">D4</f>
        <v>2023</v>
      </c>
      <c r="E26" s="557">
        <f t="shared" si="10"/>
        <v>2024</v>
      </c>
      <c r="F26" s="557">
        <f t="shared" si="10"/>
        <v>2025</v>
      </c>
      <c r="G26" s="557">
        <f t="shared" si="10"/>
        <v>2026</v>
      </c>
      <c r="H26" s="557">
        <f t="shared" si="10"/>
        <v>2027</v>
      </c>
      <c r="I26" s="557">
        <f t="shared" si="10"/>
        <v>2028</v>
      </c>
      <c r="J26" s="557">
        <f t="shared" si="10"/>
        <v>2029</v>
      </c>
      <c r="K26" s="557">
        <f t="shared" si="10"/>
        <v>2030</v>
      </c>
      <c r="L26" s="557">
        <f t="shared" si="10"/>
        <v>2031</v>
      </c>
      <c r="M26" s="557">
        <f t="shared" si="10"/>
        <v>2032</v>
      </c>
      <c r="N26" s="557">
        <f t="shared" si="10"/>
        <v>2033</v>
      </c>
      <c r="O26" s="557">
        <f t="shared" si="10"/>
        <v>2034</v>
      </c>
      <c r="P26" s="557">
        <f t="shared" si="10"/>
        <v>2035</v>
      </c>
      <c r="Q26" s="557">
        <f t="shared" si="10"/>
        <v>2036</v>
      </c>
      <c r="R26" s="557">
        <f t="shared" si="10"/>
        <v>2037</v>
      </c>
      <c r="S26" s="557">
        <f t="shared" si="10"/>
        <v>2038</v>
      </c>
      <c r="T26" s="557">
        <f t="shared" si="10"/>
        <v>2039</v>
      </c>
      <c r="U26" s="557">
        <f t="shared" si="10"/>
        <v>2040</v>
      </c>
      <c r="V26" s="557">
        <f t="shared" si="10"/>
        <v>2041</v>
      </c>
      <c r="W26" s="557">
        <f t="shared" si="10"/>
        <v>2042</v>
      </c>
      <c r="X26" s="557">
        <f t="shared" si="10"/>
        <v>2043</v>
      </c>
      <c r="Y26" s="557">
        <f t="shared" si="10"/>
        <v>2044</v>
      </c>
      <c r="Z26" s="557">
        <f t="shared" si="10"/>
        <v>2045</v>
      </c>
      <c r="AA26" s="557">
        <f t="shared" si="10"/>
        <v>2046</v>
      </c>
      <c r="AB26" s="557">
        <f t="shared" si="10"/>
        <v>2047</v>
      </c>
      <c r="AC26" s="557">
        <f t="shared" si="10"/>
        <v>2048</v>
      </c>
      <c r="AD26" s="557">
        <f t="shared" si="10"/>
        <v>2049</v>
      </c>
      <c r="AE26" s="557">
        <f t="shared" si="10"/>
        <v>2050</v>
      </c>
      <c r="AF26" s="557">
        <f t="shared" si="10"/>
        <v>2051</v>
      </c>
      <c r="AG26" s="557">
        <f t="shared" si="10"/>
        <v>2052</v>
      </c>
    </row>
    <row r="27" spans="2:33">
      <c r="B27" s="436" t="s">
        <v>353</v>
      </c>
      <c r="C27" s="439">
        <f t="shared" ref="C27:C32" si="11">SUM(D27:AG27)</f>
        <v>1166782250.0000002</v>
      </c>
      <c r="D27" s="439">
        <f t="shared" ref="D27:AG28" si="12">D16-D5</f>
        <v>0</v>
      </c>
      <c r="E27" s="439">
        <f t="shared" si="12"/>
        <v>0</v>
      </c>
      <c r="F27" s="439">
        <f t="shared" si="12"/>
        <v>-584800</v>
      </c>
      <c r="G27" s="439">
        <f t="shared" si="12"/>
        <v>5154400</v>
      </c>
      <c r="H27" s="439">
        <f t="shared" si="12"/>
        <v>24529650</v>
      </c>
      <c r="I27" s="439">
        <f t="shared" si="12"/>
        <v>45507320.000000015</v>
      </c>
      <c r="J27" s="439">
        <f t="shared" si="12"/>
        <v>45507320.000000015</v>
      </c>
      <c r="K27" s="439">
        <f t="shared" si="12"/>
        <v>45507320.000000015</v>
      </c>
      <c r="L27" s="439">
        <f t="shared" si="12"/>
        <v>45507320.000000015</v>
      </c>
      <c r="M27" s="439">
        <f t="shared" si="12"/>
        <v>45507320.000000015</v>
      </c>
      <c r="N27" s="439">
        <f t="shared" si="12"/>
        <v>45507320.000000015</v>
      </c>
      <c r="O27" s="439">
        <f t="shared" si="12"/>
        <v>45507320.000000015</v>
      </c>
      <c r="P27" s="439">
        <f t="shared" si="12"/>
        <v>45507320.000000015</v>
      </c>
      <c r="Q27" s="439">
        <f t="shared" si="12"/>
        <v>45507320.000000015</v>
      </c>
      <c r="R27" s="439">
        <f t="shared" si="12"/>
        <v>45507320.000000015</v>
      </c>
      <c r="S27" s="439">
        <f t="shared" si="12"/>
        <v>45507320.000000015</v>
      </c>
      <c r="T27" s="439">
        <f t="shared" si="12"/>
        <v>45507320.000000015</v>
      </c>
      <c r="U27" s="439">
        <f t="shared" si="12"/>
        <v>45507320.000000015</v>
      </c>
      <c r="V27" s="439">
        <f t="shared" si="12"/>
        <v>45507320.000000015</v>
      </c>
      <c r="W27" s="439">
        <f t="shared" si="12"/>
        <v>45507320.000000015</v>
      </c>
      <c r="X27" s="439">
        <f t="shared" si="12"/>
        <v>45507320.000000015</v>
      </c>
      <c r="Y27" s="439">
        <f t="shared" si="12"/>
        <v>45507320.000000015</v>
      </c>
      <c r="Z27" s="439">
        <f t="shared" si="12"/>
        <v>45507320.000000015</v>
      </c>
      <c r="AA27" s="439">
        <f t="shared" si="12"/>
        <v>45507320.000000015</v>
      </c>
      <c r="AB27" s="439">
        <f t="shared" si="12"/>
        <v>45507320.000000015</v>
      </c>
      <c r="AC27" s="439">
        <f t="shared" si="12"/>
        <v>45507320.000000015</v>
      </c>
      <c r="AD27" s="439">
        <f t="shared" si="12"/>
        <v>45507320.000000015</v>
      </c>
      <c r="AE27" s="439">
        <f t="shared" si="12"/>
        <v>45507320.000000015</v>
      </c>
      <c r="AF27" s="439">
        <f t="shared" si="12"/>
        <v>45507320.000000015</v>
      </c>
      <c r="AG27" s="439">
        <f t="shared" si="12"/>
        <v>45507320.000000015</v>
      </c>
    </row>
    <row r="28" spans="2:33">
      <c r="B28" s="436" t="s">
        <v>351</v>
      </c>
      <c r="C28" s="439">
        <f t="shared" si="11"/>
        <v>-506500000</v>
      </c>
      <c r="D28" s="439">
        <f t="shared" si="12"/>
        <v>0</v>
      </c>
      <c r="E28" s="439">
        <f t="shared" si="12"/>
        <v>0</v>
      </c>
      <c r="F28" s="439">
        <f t="shared" si="12"/>
        <v>0</v>
      </c>
      <c r="G28" s="439">
        <f t="shared" si="12"/>
        <v>-67000000</v>
      </c>
      <c r="H28" s="439">
        <f t="shared" si="12"/>
        <v>-111500000</v>
      </c>
      <c r="I28" s="439">
        <f t="shared" si="12"/>
        <v>-111500000</v>
      </c>
      <c r="J28" s="439">
        <f t="shared" si="12"/>
        <v>-111500000</v>
      </c>
      <c r="K28" s="439">
        <f t="shared" si="12"/>
        <v>0</v>
      </c>
      <c r="L28" s="439">
        <f t="shared" si="12"/>
        <v>0</v>
      </c>
      <c r="M28" s="439">
        <f t="shared" si="12"/>
        <v>0</v>
      </c>
      <c r="N28" s="439">
        <f t="shared" si="12"/>
        <v>0</v>
      </c>
      <c r="O28" s="439">
        <f t="shared" si="12"/>
        <v>0</v>
      </c>
      <c r="P28" s="439">
        <f t="shared" si="12"/>
        <v>0</v>
      </c>
      <c r="Q28" s="439">
        <f t="shared" si="12"/>
        <v>0</v>
      </c>
      <c r="R28" s="439">
        <f t="shared" si="12"/>
        <v>0</v>
      </c>
      <c r="S28" s="439">
        <f t="shared" si="12"/>
        <v>0</v>
      </c>
      <c r="T28" s="439">
        <f t="shared" si="12"/>
        <v>0</v>
      </c>
      <c r="U28" s="439">
        <f t="shared" si="12"/>
        <v>0</v>
      </c>
      <c r="V28" s="439">
        <f t="shared" si="12"/>
        <v>-18000000</v>
      </c>
      <c r="W28" s="439">
        <f t="shared" si="12"/>
        <v>-29000000</v>
      </c>
      <c r="X28" s="439">
        <f t="shared" si="12"/>
        <v>-29000000</v>
      </c>
      <c r="Y28" s="439">
        <f t="shared" si="12"/>
        <v>-29000000</v>
      </c>
      <c r="Z28" s="439">
        <f t="shared" si="12"/>
        <v>0</v>
      </c>
      <c r="AA28" s="439">
        <f t="shared" si="12"/>
        <v>0</v>
      </c>
      <c r="AB28" s="439">
        <f t="shared" si="12"/>
        <v>0</v>
      </c>
      <c r="AC28" s="439">
        <f t="shared" si="12"/>
        <v>0</v>
      </c>
      <c r="AD28" s="439">
        <f t="shared" si="12"/>
        <v>0</v>
      </c>
      <c r="AE28" s="439">
        <f t="shared" si="12"/>
        <v>0</v>
      </c>
      <c r="AF28" s="439">
        <f t="shared" si="12"/>
        <v>0</v>
      </c>
      <c r="AG28" s="439">
        <f t="shared" si="12"/>
        <v>0</v>
      </c>
    </row>
    <row r="29" spans="2:33">
      <c r="B29" s="438" t="s">
        <v>350</v>
      </c>
      <c r="C29" s="437">
        <f t="shared" si="11"/>
        <v>660282250.00000012</v>
      </c>
      <c r="D29" s="437">
        <f t="shared" ref="D29:AG29" si="13">SUM(D27:D28)</f>
        <v>0</v>
      </c>
      <c r="E29" s="437">
        <f t="shared" si="13"/>
        <v>0</v>
      </c>
      <c r="F29" s="437">
        <f t="shared" si="13"/>
        <v>-584800</v>
      </c>
      <c r="G29" s="437">
        <f t="shared" si="13"/>
        <v>-61845600</v>
      </c>
      <c r="H29" s="437">
        <f t="shared" si="13"/>
        <v>-86970350</v>
      </c>
      <c r="I29" s="437">
        <f t="shared" si="13"/>
        <v>-65992679.999999985</v>
      </c>
      <c r="J29" s="437">
        <f t="shared" si="13"/>
        <v>-65992679.999999985</v>
      </c>
      <c r="K29" s="437">
        <f t="shared" si="13"/>
        <v>45507320.000000015</v>
      </c>
      <c r="L29" s="437">
        <f t="shared" si="13"/>
        <v>45507320.000000015</v>
      </c>
      <c r="M29" s="437">
        <f t="shared" si="13"/>
        <v>45507320.000000015</v>
      </c>
      <c r="N29" s="437">
        <f t="shared" si="13"/>
        <v>45507320.000000015</v>
      </c>
      <c r="O29" s="437">
        <f t="shared" si="13"/>
        <v>45507320.000000015</v>
      </c>
      <c r="P29" s="437">
        <f t="shared" si="13"/>
        <v>45507320.000000015</v>
      </c>
      <c r="Q29" s="437">
        <f t="shared" si="13"/>
        <v>45507320.000000015</v>
      </c>
      <c r="R29" s="437">
        <f t="shared" si="13"/>
        <v>45507320.000000015</v>
      </c>
      <c r="S29" s="437">
        <f t="shared" si="13"/>
        <v>45507320.000000015</v>
      </c>
      <c r="T29" s="437">
        <f t="shared" si="13"/>
        <v>45507320.000000015</v>
      </c>
      <c r="U29" s="437">
        <f t="shared" si="13"/>
        <v>45507320.000000015</v>
      </c>
      <c r="V29" s="437">
        <f t="shared" si="13"/>
        <v>27507320.000000015</v>
      </c>
      <c r="W29" s="437">
        <f t="shared" si="13"/>
        <v>16507320.000000015</v>
      </c>
      <c r="X29" s="437">
        <f t="shared" si="13"/>
        <v>16507320.000000015</v>
      </c>
      <c r="Y29" s="437">
        <f t="shared" si="13"/>
        <v>16507320.000000015</v>
      </c>
      <c r="Z29" s="437">
        <f t="shared" si="13"/>
        <v>45507320.000000015</v>
      </c>
      <c r="AA29" s="437">
        <f t="shared" si="13"/>
        <v>45507320.000000015</v>
      </c>
      <c r="AB29" s="437">
        <f t="shared" si="13"/>
        <v>45507320.000000015</v>
      </c>
      <c r="AC29" s="437">
        <f t="shared" si="13"/>
        <v>45507320.000000015</v>
      </c>
      <c r="AD29" s="437">
        <f t="shared" si="13"/>
        <v>45507320.000000015</v>
      </c>
      <c r="AE29" s="437">
        <f t="shared" si="13"/>
        <v>45507320.000000015</v>
      </c>
      <c r="AF29" s="437">
        <f t="shared" si="13"/>
        <v>45507320.000000015</v>
      </c>
      <c r="AG29" s="437">
        <f t="shared" si="13"/>
        <v>45507320.000000015</v>
      </c>
    </row>
    <row r="30" spans="2:33">
      <c r="B30" s="436" t="s">
        <v>56</v>
      </c>
      <c r="C30" s="439">
        <f t="shared" si="11"/>
        <v>25859920</v>
      </c>
      <c r="D30" s="439">
        <f t="shared" ref="D30:AG30" si="14">D19-D8</f>
        <v>0</v>
      </c>
      <c r="E30" s="439">
        <f t="shared" si="14"/>
        <v>0</v>
      </c>
      <c r="F30" s="439">
        <f t="shared" si="14"/>
        <v>-65240</v>
      </c>
      <c r="G30" s="439">
        <f t="shared" si="14"/>
        <v>-105880</v>
      </c>
      <c r="H30" s="439">
        <f t="shared" si="14"/>
        <v>538040.00000000093</v>
      </c>
      <c r="I30" s="439">
        <f t="shared" si="14"/>
        <v>1019720</v>
      </c>
      <c r="J30" s="439">
        <f t="shared" si="14"/>
        <v>1019720</v>
      </c>
      <c r="K30" s="439">
        <f t="shared" si="14"/>
        <v>1019720</v>
      </c>
      <c r="L30" s="439">
        <f t="shared" si="14"/>
        <v>1019720</v>
      </c>
      <c r="M30" s="439">
        <f t="shared" si="14"/>
        <v>1019720</v>
      </c>
      <c r="N30" s="439">
        <f t="shared" si="14"/>
        <v>1019720</v>
      </c>
      <c r="O30" s="439">
        <f t="shared" si="14"/>
        <v>1019720</v>
      </c>
      <c r="P30" s="439">
        <f t="shared" si="14"/>
        <v>1019720</v>
      </c>
      <c r="Q30" s="439">
        <f t="shared" si="14"/>
        <v>1019720</v>
      </c>
      <c r="R30" s="439">
        <f t="shared" si="14"/>
        <v>1019720</v>
      </c>
      <c r="S30" s="439">
        <f t="shared" si="14"/>
        <v>1019720</v>
      </c>
      <c r="T30" s="439">
        <f t="shared" si="14"/>
        <v>1019720</v>
      </c>
      <c r="U30" s="439">
        <f t="shared" si="14"/>
        <v>1019720</v>
      </c>
      <c r="V30" s="439">
        <f t="shared" si="14"/>
        <v>1019720</v>
      </c>
      <c r="W30" s="439">
        <f t="shared" si="14"/>
        <v>1019720</v>
      </c>
      <c r="X30" s="439">
        <f t="shared" si="14"/>
        <v>1019720</v>
      </c>
      <c r="Y30" s="439">
        <f t="shared" si="14"/>
        <v>1019720</v>
      </c>
      <c r="Z30" s="439">
        <f t="shared" si="14"/>
        <v>1019720</v>
      </c>
      <c r="AA30" s="439">
        <f t="shared" si="14"/>
        <v>1019720</v>
      </c>
      <c r="AB30" s="439">
        <f t="shared" si="14"/>
        <v>1019720</v>
      </c>
      <c r="AC30" s="439">
        <f t="shared" si="14"/>
        <v>1019720</v>
      </c>
      <c r="AD30" s="439">
        <f t="shared" si="14"/>
        <v>1019720</v>
      </c>
      <c r="AE30" s="439">
        <f t="shared" si="14"/>
        <v>1019720</v>
      </c>
      <c r="AF30" s="439">
        <f t="shared" si="14"/>
        <v>1019720</v>
      </c>
      <c r="AG30" s="439">
        <f t="shared" si="14"/>
        <v>1019720</v>
      </c>
    </row>
    <row r="31" spans="2:33" ht="12" thickBot="1">
      <c r="B31" s="434" t="s">
        <v>54</v>
      </c>
      <c r="C31" s="433">
        <f t="shared" si="11"/>
        <v>25859920</v>
      </c>
      <c r="D31" s="433">
        <f t="shared" ref="D31:AG31" si="15">SUM(D30:D30)</f>
        <v>0</v>
      </c>
      <c r="E31" s="433">
        <f t="shared" si="15"/>
        <v>0</v>
      </c>
      <c r="F31" s="433">
        <f t="shared" si="15"/>
        <v>-65240</v>
      </c>
      <c r="G31" s="433">
        <f t="shared" si="15"/>
        <v>-105880</v>
      </c>
      <c r="H31" s="433">
        <f t="shared" si="15"/>
        <v>538040.00000000093</v>
      </c>
      <c r="I31" s="433">
        <f t="shared" si="15"/>
        <v>1019720</v>
      </c>
      <c r="J31" s="433">
        <f t="shared" si="15"/>
        <v>1019720</v>
      </c>
      <c r="K31" s="433">
        <f t="shared" si="15"/>
        <v>1019720</v>
      </c>
      <c r="L31" s="433">
        <f t="shared" si="15"/>
        <v>1019720</v>
      </c>
      <c r="M31" s="433">
        <f t="shared" si="15"/>
        <v>1019720</v>
      </c>
      <c r="N31" s="433">
        <f t="shared" si="15"/>
        <v>1019720</v>
      </c>
      <c r="O31" s="433">
        <f t="shared" si="15"/>
        <v>1019720</v>
      </c>
      <c r="P31" s="433">
        <f t="shared" si="15"/>
        <v>1019720</v>
      </c>
      <c r="Q31" s="433">
        <f t="shared" si="15"/>
        <v>1019720</v>
      </c>
      <c r="R31" s="433">
        <f t="shared" si="15"/>
        <v>1019720</v>
      </c>
      <c r="S31" s="433">
        <f t="shared" si="15"/>
        <v>1019720</v>
      </c>
      <c r="T31" s="433">
        <f t="shared" si="15"/>
        <v>1019720</v>
      </c>
      <c r="U31" s="433">
        <f t="shared" si="15"/>
        <v>1019720</v>
      </c>
      <c r="V31" s="433">
        <f t="shared" si="15"/>
        <v>1019720</v>
      </c>
      <c r="W31" s="433">
        <f t="shared" si="15"/>
        <v>1019720</v>
      </c>
      <c r="X31" s="433">
        <f t="shared" si="15"/>
        <v>1019720</v>
      </c>
      <c r="Y31" s="433">
        <f t="shared" si="15"/>
        <v>1019720</v>
      </c>
      <c r="Z31" s="433">
        <f t="shared" si="15"/>
        <v>1019720</v>
      </c>
      <c r="AA31" s="433">
        <f t="shared" si="15"/>
        <v>1019720</v>
      </c>
      <c r="AB31" s="433">
        <f t="shared" si="15"/>
        <v>1019720</v>
      </c>
      <c r="AC31" s="433">
        <f t="shared" si="15"/>
        <v>1019720</v>
      </c>
      <c r="AD31" s="433">
        <f t="shared" si="15"/>
        <v>1019720</v>
      </c>
      <c r="AE31" s="433">
        <f t="shared" si="15"/>
        <v>1019720</v>
      </c>
      <c r="AF31" s="433">
        <f t="shared" si="15"/>
        <v>1019720</v>
      </c>
      <c r="AG31" s="433">
        <f t="shared" si="15"/>
        <v>1019720</v>
      </c>
    </row>
    <row r="32" spans="2:33" ht="12" thickTop="1">
      <c r="B32" s="431" t="s">
        <v>53</v>
      </c>
      <c r="C32" s="430">
        <f t="shared" si="11"/>
        <v>686142170.00000012</v>
      </c>
      <c r="D32" s="430">
        <f t="shared" ref="D32:AG32" si="16">SUM(D29,D31)</f>
        <v>0</v>
      </c>
      <c r="E32" s="430">
        <f t="shared" si="16"/>
        <v>0</v>
      </c>
      <c r="F32" s="430">
        <f t="shared" si="16"/>
        <v>-650040</v>
      </c>
      <c r="G32" s="430">
        <f t="shared" si="16"/>
        <v>-61951480</v>
      </c>
      <c r="H32" s="430">
        <f t="shared" si="16"/>
        <v>-86432310</v>
      </c>
      <c r="I32" s="430">
        <f t="shared" si="16"/>
        <v>-64972959.999999985</v>
      </c>
      <c r="J32" s="430">
        <f t="shared" si="16"/>
        <v>-64972959.999999985</v>
      </c>
      <c r="K32" s="430">
        <f t="shared" si="16"/>
        <v>46527040.000000015</v>
      </c>
      <c r="L32" s="430">
        <f t="shared" si="16"/>
        <v>46527040.000000015</v>
      </c>
      <c r="M32" s="430">
        <f t="shared" si="16"/>
        <v>46527040.000000015</v>
      </c>
      <c r="N32" s="430">
        <f t="shared" si="16"/>
        <v>46527040.000000015</v>
      </c>
      <c r="O32" s="430">
        <f t="shared" si="16"/>
        <v>46527040.000000015</v>
      </c>
      <c r="P32" s="430">
        <f t="shared" si="16"/>
        <v>46527040.000000015</v>
      </c>
      <c r="Q32" s="430">
        <f t="shared" si="16"/>
        <v>46527040.000000015</v>
      </c>
      <c r="R32" s="430">
        <f t="shared" si="16"/>
        <v>46527040.000000015</v>
      </c>
      <c r="S32" s="430">
        <f t="shared" si="16"/>
        <v>46527040.000000015</v>
      </c>
      <c r="T32" s="430">
        <f t="shared" si="16"/>
        <v>46527040.000000015</v>
      </c>
      <c r="U32" s="430">
        <f t="shared" si="16"/>
        <v>46527040.000000015</v>
      </c>
      <c r="V32" s="430">
        <f t="shared" si="16"/>
        <v>28527040.000000015</v>
      </c>
      <c r="W32" s="430">
        <f t="shared" si="16"/>
        <v>17527040.000000015</v>
      </c>
      <c r="X32" s="430">
        <f t="shared" si="16"/>
        <v>17527040.000000015</v>
      </c>
      <c r="Y32" s="430">
        <f t="shared" si="16"/>
        <v>17527040.000000015</v>
      </c>
      <c r="Z32" s="430">
        <f t="shared" si="16"/>
        <v>46527040.000000015</v>
      </c>
      <c r="AA32" s="430">
        <f t="shared" si="16"/>
        <v>46527040.000000015</v>
      </c>
      <c r="AB32" s="430">
        <f t="shared" si="16"/>
        <v>46527040.000000015</v>
      </c>
      <c r="AC32" s="430">
        <f t="shared" si="16"/>
        <v>46527040.000000015</v>
      </c>
      <c r="AD32" s="430">
        <f t="shared" si="16"/>
        <v>46527040.000000015</v>
      </c>
      <c r="AE32" s="430">
        <f t="shared" si="16"/>
        <v>46527040.000000015</v>
      </c>
      <c r="AF32" s="430">
        <f t="shared" si="16"/>
        <v>46527040.000000015</v>
      </c>
      <c r="AG32" s="430">
        <f t="shared" si="16"/>
        <v>46527040.000000015</v>
      </c>
    </row>
    <row r="35" spans="2:33">
      <c r="C35" s="436"/>
      <c r="D35" s="436" t="s">
        <v>10</v>
      </c>
      <c r="E35" s="436"/>
      <c r="F35" s="436"/>
      <c r="G35" s="436"/>
      <c r="H35" s="436"/>
      <c r="I35" s="436"/>
      <c r="J35" s="436"/>
      <c r="K35" s="436"/>
      <c r="L35" s="436"/>
      <c r="M35" s="436"/>
      <c r="N35" s="436"/>
      <c r="O35" s="436"/>
      <c r="P35" s="436"/>
      <c r="Q35" s="436"/>
      <c r="R35" s="436"/>
      <c r="S35" s="436"/>
      <c r="T35" s="436"/>
      <c r="U35" s="436"/>
      <c r="V35" s="436"/>
      <c r="W35" s="436"/>
      <c r="X35" s="436"/>
      <c r="Y35" s="436"/>
      <c r="Z35" s="436"/>
      <c r="AA35" s="436"/>
      <c r="AB35" s="436"/>
      <c r="AC35" s="436"/>
      <c r="AD35" s="436"/>
      <c r="AE35" s="436"/>
      <c r="AF35" s="436"/>
      <c r="AG35" s="436"/>
    </row>
    <row r="36" spans="2:33">
      <c r="B36" s="438" t="s">
        <v>228</v>
      </c>
      <c r="C36" s="438"/>
      <c r="D36" s="436">
        <v>1</v>
      </c>
      <c r="E36" s="436">
        <v>2</v>
      </c>
      <c r="F36" s="436">
        <v>3</v>
      </c>
      <c r="G36" s="436">
        <v>4</v>
      </c>
      <c r="H36" s="436">
        <v>5</v>
      </c>
      <c r="I36" s="436">
        <v>6</v>
      </c>
      <c r="J36" s="436">
        <v>7</v>
      </c>
      <c r="K36" s="436">
        <v>8</v>
      </c>
      <c r="L36" s="436">
        <v>9</v>
      </c>
      <c r="M36" s="436">
        <v>10</v>
      </c>
      <c r="N36" s="436">
        <v>11</v>
      </c>
      <c r="O36" s="436">
        <v>12</v>
      </c>
      <c r="P36" s="436">
        <v>13</v>
      </c>
      <c r="Q36" s="436">
        <v>14</v>
      </c>
      <c r="R36" s="436">
        <v>15</v>
      </c>
      <c r="S36" s="436">
        <v>16</v>
      </c>
      <c r="T36" s="436">
        <v>17</v>
      </c>
      <c r="U36" s="436">
        <v>18</v>
      </c>
      <c r="V36" s="436">
        <v>19</v>
      </c>
      <c r="W36" s="436">
        <v>20</v>
      </c>
      <c r="X36" s="436">
        <v>21</v>
      </c>
      <c r="Y36" s="436">
        <v>22</v>
      </c>
      <c r="Z36" s="436">
        <v>23</v>
      </c>
      <c r="AA36" s="436">
        <v>24</v>
      </c>
      <c r="AB36" s="436">
        <v>25</v>
      </c>
      <c r="AC36" s="436">
        <v>26</v>
      </c>
      <c r="AD36" s="436">
        <v>27</v>
      </c>
      <c r="AE36" s="436">
        <v>28</v>
      </c>
      <c r="AF36" s="436">
        <v>29</v>
      </c>
      <c r="AG36" s="436">
        <v>30</v>
      </c>
    </row>
    <row r="37" spans="2:33">
      <c r="B37" s="556" t="s">
        <v>41</v>
      </c>
      <c r="C37" s="556" t="s">
        <v>9</v>
      </c>
      <c r="D37" s="557">
        <f t="shared" ref="D37:AG37" si="17">D4</f>
        <v>2023</v>
      </c>
      <c r="E37" s="557">
        <f t="shared" si="17"/>
        <v>2024</v>
      </c>
      <c r="F37" s="557">
        <f t="shared" si="17"/>
        <v>2025</v>
      </c>
      <c r="G37" s="557">
        <f t="shared" si="17"/>
        <v>2026</v>
      </c>
      <c r="H37" s="557">
        <f t="shared" si="17"/>
        <v>2027</v>
      </c>
      <c r="I37" s="557">
        <f t="shared" si="17"/>
        <v>2028</v>
      </c>
      <c r="J37" s="557">
        <f t="shared" si="17"/>
        <v>2029</v>
      </c>
      <c r="K37" s="557">
        <f t="shared" si="17"/>
        <v>2030</v>
      </c>
      <c r="L37" s="557">
        <f t="shared" si="17"/>
        <v>2031</v>
      </c>
      <c r="M37" s="557">
        <f t="shared" si="17"/>
        <v>2032</v>
      </c>
      <c r="N37" s="557">
        <f t="shared" si="17"/>
        <v>2033</v>
      </c>
      <c r="O37" s="557">
        <f t="shared" si="17"/>
        <v>2034</v>
      </c>
      <c r="P37" s="557">
        <f t="shared" si="17"/>
        <v>2035</v>
      </c>
      <c r="Q37" s="557">
        <f t="shared" si="17"/>
        <v>2036</v>
      </c>
      <c r="R37" s="557">
        <f t="shared" si="17"/>
        <v>2037</v>
      </c>
      <c r="S37" s="557">
        <f t="shared" si="17"/>
        <v>2038</v>
      </c>
      <c r="T37" s="557">
        <f t="shared" si="17"/>
        <v>2039</v>
      </c>
      <c r="U37" s="557">
        <f t="shared" si="17"/>
        <v>2040</v>
      </c>
      <c r="V37" s="557">
        <f t="shared" si="17"/>
        <v>2041</v>
      </c>
      <c r="W37" s="557">
        <f t="shared" si="17"/>
        <v>2042</v>
      </c>
      <c r="X37" s="557">
        <f t="shared" si="17"/>
        <v>2043</v>
      </c>
      <c r="Y37" s="557">
        <f t="shared" si="17"/>
        <v>2044</v>
      </c>
      <c r="Z37" s="557">
        <f t="shared" si="17"/>
        <v>2045</v>
      </c>
      <c r="AA37" s="557">
        <f t="shared" si="17"/>
        <v>2046</v>
      </c>
      <c r="AB37" s="557">
        <f t="shared" si="17"/>
        <v>2047</v>
      </c>
      <c r="AC37" s="557">
        <f t="shared" si="17"/>
        <v>2048</v>
      </c>
      <c r="AD37" s="557">
        <f t="shared" si="17"/>
        <v>2049</v>
      </c>
      <c r="AE37" s="557">
        <f t="shared" si="17"/>
        <v>2050</v>
      </c>
      <c r="AF37" s="557">
        <f t="shared" si="17"/>
        <v>2051</v>
      </c>
      <c r="AG37" s="557">
        <f t="shared" si="17"/>
        <v>2052</v>
      </c>
    </row>
    <row r="38" spans="2:33">
      <c r="B38" s="436" t="s">
        <v>353</v>
      </c>
      <c r="C38" s="439">
        <f t="shared" ref="C38:C43" si="18">SUM(D38:AG38)</f>
        <v>1050104025.0000001</v>
      </c>
      <c r="D38" s="439">
        <f>D27*Parametre!$C$71</f>
        <v>0</v>
      </c>
      <c r="E38" s="439">
        <f>E27*Parametre!$C$71</f>
        <v>0</v>
      </c>
      <c r="F38" s="439">
        <f>F27*Parametre!$C$71</f>
        <v>-526320</v>
      </c>
      <c r="G38" s="439">
        <f>G27*Parametre!$C$71</f>
        <v>4638960</v>
      </c>
      <c r="H38" s="439">
        <f>H27*Parametre!$C$71</f>
        <v>22076685</v>
      </c>
      <c r="I38" s="439">
        <f>I27*Parametre!$C$71</f>
        <v>40956588.000000015</v>
      </c>
      <c r="J38" s="439">
        <f>J27*Parametre!$C$71</f>
        <v>40956588.000000015</v>
      </c>
      <c r="K38" s="439">
        <f>K27*Parametre!$C$71</f>
        <v>40956588.000000015</v>
      </c>
      <c r="L38" s="439">
        <f>L27*Parametre!$C$71</f>
        <v>40956588.000000015</v>
      </c>
      <c r="M38" s="439">
        <f>M27*Parametre!$C$71</f>
        <v>40956588.000000015</v>
      </c>
      <c r="N38" s="439">
        <f>N27*Parametre!$C$71</f>
        <v>40956588.000000015</v>
      </c>
      <c r="O38" s="439">
        <f>O27*Parametre!$C$71</f>
        <v>40956588.000000015</v>
      </c>
      <c r="P38" s="439">
        <f>P27*Parametre!$C$71</f>
        <v>40956588.000000015</v>
      </c>
      <c r="Q38" s="439">
        <f>Q27*Parametre!$C$71</f>
        <v>40956588.000000015</v>
      </c>
      <c r="R38" s="439">
        <f>R27*Parametre!$C$71</f>
        <v>40956588.000000015</v>
      </c>
      <c r="S38" s="439">
        <f>S27*Parametre!$C$71</f>
        <v>40956588.000000015</v>
      </c>
      <c r="T38" s="439">
        <f>T27*Parametre!$C$71</f>
        <v>40956588.000000015</v>
      </c>
      <c r="U38" s="439">
        <f>U27*Parametre!$C$71</f>
        <v>40956588.000000015</v>
      </c>
      <c r="V38" s="439">
        <f>V27*Parametre!$C$71</f>
        <v>40956588.000000015</v>
      </c>
      <c r="W38" s="439">
        <f>W27*Parametre!$C$71</f>
        <v>40956588.000000015</v>
      </c>
      <c r="X38" s="439">
        <f>X27*Parametre!$C$71</f>
        <v>40956588.000000015</v>
      </c>
      <c r="Y38" s="439">
        <f>Y27*Parametre!$C$71</f>
        <v>40956588.000000015</v>
      </c>
      <c r="Z38" s="439">
        <f>Z27*Parametre!$C$71</f>
        <v>40956588.000000015</v>
      </c>
      <c r="AA38" s="439">
        <f>AA27*Parametre!$C$71</f>
        <v>40956588.000000015</v>
      </c>
      <c r="AB38" s="439">
        <f>AB27*Parametre!$C$71</f>
        <v>40956588.000000015</v>
      </c>
      <c r="AC38" s="439">
        <f>AC27*Parametre!$C$71</f>
        <v>40956588.000000015</v>
      </c>
      <c r="AD38" s="439">
        <f>AD27*Parametre!$C$71</f>
        <v>40956588.000000015</v>
      </c>
      <c r="AE38" s="439">
        <f>AE27*Parametre!$C$71</f>
        <v>40956588.000000015</v>
      </c>
      <c r="AF38" s="439">
        <f>AF27*Parametre!$C$71</f>
        <v>40956588.000000015</v>
      </c>
      <c r="AG38" s="439">
        <f>AG27*Parametre!$C$71</f>
        <v>40956588.000000015</v>
      </c>
    </row>
    <row r="39" spans="2:33">
      <c r="B39" s="436" t="s">
        <v>351</v>
      </c>
      <c r="C39" s="439">
        <f t="shared" si="18"/>
        <v>-455850000</v>
      </c>
      <c r="D39" s="439">
        <f>D28*Parametre!$C$71</f>
        <v>0</v>
      </c>
      <c r="E39" s="439">
        <f>E28*Parametre!$C$71</f>
        <v>0</v>
      </c>
      <c r="F39" s="439">
        <f>F28*Parametre!$C$71</f>
        <v>0</v>
      </c>
      <c r="G39" s="439">
        <f>G28*Parametre!$C$71</f>
        <v>-60300000</v>
      </c>
      <c r="H39" s="439">
        <f>H28*Parametre!$C$71</f>
        <v>-100350000</v>
      </c>
      <c r="I39" s="439">
        <f>I28*Parametre!$C$71</f>
        <v>-100350000</v>
      </c>
      <c r="J39" s="439">
        <f>J28*Parametre!$C$71</f>
        <v>-100350000</v>
      </c>
      <c r="K39" s="439">
        <f>K28*Parametre!$C$71</f>
        <v>0</v>
      </c>
      <c r="L39" s="439">
        <f>L28*Parametre!$C$71</f>
        <v>0</v>
      </c>
      <c r="M39" s="439">
        <f>M28*Parametre!$C$71</f>
        <v>0</v>
      </c>
      <c r="N39" s="439">
        <f>N28*Parametre!$C$71</f>
        <v>0</v>
      </c>
      <c r="O39" s="439">
        <f>O28*Parametre!$C$71</f>
        <v>0</v>
      </c>
      <c r="P39" s="439">
        <f>P28*Parametre!$C$71</f>
        <v>0</v>
      </c>
      <c r="Q39" s="439">
        <f>Q28*Parametre!$C$71</f>
        <v>0</v>
      </c>
      <c r="R39" s="439">
        <f>R28*Parametre!$C$71</f>
        <v>0</v>
      </c>
      <c r="S39" s="439">
        <f>S28*Parametre!$C$71</f>
        <v>0</v>
      </c>
      <c r="T39" s="439">
        <f>T28*Parametre!$C$71</f>
        <v>0</v>
      </c>
      <c r="U39" s="439">
        <f>U28*Parametre!$C$71</f>
        <v>0</v>
      </c>
      <c r="V39" s="439">
        <f>V28*Parametre!$C$71</f>
        <v>-16200000</v>
      </c>
      <c r="W39" s="439">
        <f>W28*Parametre!$C$71</f>
        <v>-26100000</v>
      </c>
      <c r="X39" s="439">
        <f>X28*Parametre!$C$71</f>
        <v>-26100000</v>
      </c>
      <c r="Y39" s="439">
        <f>Y28*Parametre!$C$71</f>
        <v>-26100000</v>
      </c>
      <c r="Z39" s="439">
        <f>Z28*Parametre!$C$71</f>
        <v>0</v>
      </c>
      <c r="AA39" s="439">
        <f>AA28*Parametre!$C$71</f>
        <v>0</v>
      </c>
      <c r="AB39" s="439">
        <f>AB28*Parametre!$C$71</f>
        <v>0</v>
      </c>
      <c r="AC39" s="439">
        <f>AC28*Parametre!$C$71</f>
        <v>0</v>
      </c>
      <c r="AD39" s="439">
        <f>AD28*Parametre!$C$71</f>
        <v>0</v>
      </c>
      <c r="AE39" s="439">
        <f>AE28*Parametre!$C$71</f>
        <v>0</v>
      </c>
      <c r="AF39" s="439">
        <f>AF28*Parametre!$C$71</f>
        <v>0</v>
      </c>
      <c r="AG39" s="439">
        <f>AG28*Parametre!$C$71</f>
        <v>0</v>
      </c>
    </row>
    <row r="40" spans="2:33">
      <c r="B40" s="438" t="s">
        <v>352</v>
      </c>
      <c r="C40" s="437">
        <f t="shared" si="18"/>
        <v>594254025.00000012</v>
      </c>
      <c r="D40" s="437">
        <f t="shared" ref="D40:AG40" si="19">SUM(D38:D39)</f>
        <v>0</v>
      </c>
      <c r="E40" s="437">
        <f t="shared" si="19"/>
        <v>0</v>
      </c>
      <c r="F40" s="437">
        <f t="shared" si="19"/>
        <v>-526320</v>
      </c>
      <c r="G40" s="437">
        <f t="shared" si="19"/>
        <v>-55661040</v>
      </c>
      <c r="H40" s="437">
        <f t="shared" si="19"/>
        <v>-78273315</v>
      </c>
      <c r="I40" s="437">
        <f t="shared" si="19"/>
        <v>-59393411.999999985</v>
      </c>
      <c r="J40" s="437">
        <f t="shared" si="19"/>
        <v>-59393411.999999985</v>
      </c>
      <c r="K40" s="437">
        <f t="shared" si="19"/>
        <v>40956588.000000015</v>
      </c>
      <c r="L40" s="437">
        <f t="shared" si="19"/>
        <v>40956588.000000015</v>
      </c>
      <c r="M40" s="437">
        <f t="shared" si="19"/>
        <v>40956588.000000015</v>
      </c>
      <c r="N40" s="437">
        <f t="shared" si="19"/>
        <v>40956588.000000015</v>
      </c>
      <c r="O40" s="437">
        <f t="shared" si="19"/>
        <v>40956588.000000015</v>
      </c>
      <c r="P40" s="437">
        <f t="shared" si="19"/>
        <v>40956588.000000015</v>
      </c>
      <c r="Q40" s="437">
        <f t="shared" si="19"/>
        <v>40956588.000000015</v>
      </c>
      <c r="R40" s="437">
        <f t="shared" si="19"/>
        <v>40956588.000000015</v>
      </c>
      <c r="S40" s="437">
        <f t="shared" si="19"/>
        <v>40956588.000000015</v>
      </c>
      <c r="T40" s="437">
        <f t="shared" si="19"/>
        <v>40956588.000000015</v>
      </c>
      <c r="U40" s="437">
        <f t="shared" si="19"/>
        <v>40956588.000000015</v>
      </c>
      <c r="V40" s="437">
        <f t="shared" si="19"/>
        <v>24756588.000000015</v>
      </c>
      <c r="W40" s="437">
        <f t="shared" si="19"/>
        <v>14856588.000000015</v>
      </c>
      <c r="X40" s="437">
        <f t="shared" si="19"/>
        <v>14856588.000000015</v>
      </c>
      <c r="Y40" s="437">
        <f t="shared" si="19"/>
        <v>14856588.000000015</v>
      </c>
      <c r="Z40" s="437">
        <f t="shared" si="19"/>
        <v>40956588.000000015</v>
      </c>
      <c r="AA40" s="437">
        <f t="shared" si="19"/>
        <v>40956588.000000015</v>
      </c>
      <c r="AB40" s="437">
        <f t="shared" si="19"/>
        <v>40956588.000000015</v>
      </c>
      <c r="AC40" s="437">
        <f t="shared" si="19"/>
        <v>40956588.000000015</v>
      </c>
      <c r="AD40" s="437">
        <f t="shared" si="19"/>
        <v>40956588.000000015</v>
      </c>
      <c r="AE40" s="437">
        <f t="shared" si="19"/>
        <v>40956588.000000015</v>
      </c>
      <c r="AF40" s="437">
        <f t="shared" si="19"/>
        <v>40956588.000000015</v>
      </c>
      <c r="AG40" s="437">
        <f t="shared" si="19"/>
        <v>40956588.000000015</v>
      </c>
    </row>
    <row r="41" spans="2:33">
      <c r="B41" s="436" t="s">
        <v>229</v>
      </c>
      <c r="C41" s="439">
        <f t="shared" si="18"/>
        <v>23273928</v>
      </c>
      <c r="D41" s="439">
        <f>D30*Parametre!$C$71</f>
        <v>0</v>
      </c>
      <c r="E41" s="439">
        <f>E30*Parametre!$C$71</f>
        <v>0</v>
      </c>
      <c r="F41" s="439">
        <f>F30*Parametre!$C$71</f>
        <v>-58716</v>
      </c>
      <c r="G41" s="439">
        <f>G30*Parametre!$C$71</f>
        <v>-95292</v>
      </c>
      <c r="H41" s="439">
        <f>H30*Parametre!$C$71</f>
        <v>484236.00000000087</v>
      </c>
      <c r="I41" s="439">
        <f>I30*Parametre!$C$71</f>
        <v>917748</v>
      </c>
      <c r="J41" s="439">
        <f>J30*Parametre!$C$71</f>
        <v>917748</v>
      </c>
      <c r="K41" s="439">
        <f>K30*Parametre!$C$71</f>
        <v>917748</v>
      </c>
      <c r="L41" s="439">
        <f>L30*Parametre!$C$71</f>
        <v>917748</v>
      </c>
      <c r="M41" s="439">
        <f>M30*Parametre!$C$71</f>
        <v>917748</v>
      </c>
      <c r="N41" s="439">
        <f>N30*Parametre!$C$71</f>
        <v>917748</v>
      </c>
      <c r="O41" s="439">
        <f>O30*Parametre!$C$71</f>
        <v>917748</v>
      </c>
      <c r="P41" s="439">
        <f>P30*Parametre!$C$71</f>
        <v>917748</v>
      </c>
      <c r="Q41" s="439">
        <f>Q30*Parametre!$C$71</f>
        <v>917748</v>
      </c>
      <c r="R41" s="439">
        <f>R30*Parametre!$C$71</f>
        <v>917748</v>
      </c>
      <c r="S41" s="439">
        <f>S30*Parametre!$C$71</f>
        <v>917748</v>
      </c>
      <c r="T41" s="439">
        <f>T30*Parametre!$C$71</f>
        <v>917748</v>
      </c>
      <c r="U41" s="439">
        <f>U30*Parametre!$C$71</f>
        <v>917748</v>
      </c>
      <c r="V41" s="439">
        <f>V30*Parametre!$C$71</f>
        <v>917748</v>
      </c>
      <c r="W41" s="439">
        <f>W30*Parametre!$C$71</f>
        <v>917748</v>
      </c>
      <c r="X41" s="439">
        <f>X30*Parametre!$C$71</f>
        <v>917748</v>
      </c>
      <c r="Y41" s="439">
        <f>Y30*Parametre!$C$71</f>
        <v>917748</v>
      </c>
      <c r="Z41" s="439">
        <f>Z30*Parametre!$C$71</f>
        <v>917748</v>
      </c>
      <c r="AA41" s="439">
        <f>AA30*Parametre!$C$71</f>
        <v>917748</v>
      </c>
      <c r="AB41" s="439">
        <f>AB30*Parametre!$C$71</f>
        <v>917748</v>
      </c>
      <c r="AC41" s="439">
        <f>AC30*Parametre!$C$71</f>
        <v>917748</v>
      </c>
      <c r="AD41" s="439">
        <f>AD30*Parametre!$C$71</f>
        <v>917748</v>
      </c>
      <c r="AE41" s="439">
        <f>AE30*Parametre!$C$71</f>
        <v>917748</v>
      </c>
      <c r="AF41" s="439">
        <f>AF30*Parametre!$C$71</f>
        <v>917748</v>
      </c>
      <c r="AG41" s="439">
        <f>AG30*Parametre!$C$71</f>
        <v>917748</v>
      </c>
    </row>
    <row r="42" spans="2:33" ht="12" thickBot="1">
      <c r="B42" s="434" t="s">
        <v>230</v>
      </c>
      <c r="C42" s="433">
        <f t="shared" si="18"/>
        <v>23273928</v>
      </c>
      <c r="D42" s="433">
        <f t="shared" ref="D42:AG42" si="20">SUM(D41:D41)</f>
        <v>0</v>
      </c>
      <c r="E42" s="433">
        <f t="shared" si="20"/>
        <v>0</v>
      </c>
      <c r="F42" s="433">
        <f t="shared" si="20"/>
        <v>-58716</v>
      </c>
      <c r="G42" s="433">
        <f t="shared" si="20"/>
        <v>-95292</v>
      </c>
      <c r="H42" s="433">
        <f t="shared" si="20"/>
        <v>484236.00000000087</v>
      </c>
      <c r="I42" s="433">
        <f t="shared" si="20"/>
        <v>917748</v>
      </c>
      <c r="J42" s="433">
        <f t="shared" si="20"/>
        <v>917748</v>
      </c>
      <c r="K42" s="433">
        <f t="shared" si="20"/>
        <v>917748</v>
      </c>
      <c r="L42" s="433">
        <f t="shared" si="20"/>
        <v>917748</v>
      </c>
      <c r="M42" s="433">
        <f t="shared" si="20"/>
        <v>917748</v>
      </c>
      <c r="N42" s="433">
        <f t="shared" si="20"/>
        <v>917748</v>
      </c>
      <c r="O42" s="433">
        <f t="shared" si="20"/>
        <v>917748</v>
      </c>
      <c r="P42" s="433">
        <f t="shared" si="20"/>
        <v>917748</v>
      </c>
      <c r="Q42" s="433">
        <f t="shared" si="20"/>
        <v>917748</v>
      </c>
      <c r="R42" s="433">
        <f t="shared" si="20"/>
        <v>917748</v>
      </c>
      <c r="S42" s="433">
        <f t="shared" si="20"/>
        <v>917748</v>
      </c>
      <c r="T42" s="433">
        <f t="shared" si="20"/>
        <v>917748</v>
      </c>
      <c r="U42" s="433">
        <f t="shared" si="20"/>
        <v>917748</v>
      </c>
      <c r="V42" s="433">
        <f t="shared" si="20"/>
        <v>917748</v>
      </c>
      <c r="W42" s="433">
        <f t="shared" si="20"/>
        <v>917748</v>
      </c>
      <c r="X42" s="433">
        <f t="shared" si="20"/>
        <v>917748</v>
      </c>
      <c r="Y42" s="433">
        <f t="shared" si="20"/>
        <v>917748</v>
      </c>
      <c r="Z42" s="433">
        <f t="shared" si="20"/>
        <v>917748</v>
      </c>
      <c r="AA42" s="433">
        <f t="shared" si="20"/>
        <v>917748</v>
      </c>
      <c r="AB42" s="433">
        <f t="shared" si="20"/>
        <v>917748</v>
      </c>
      <c r="AC42" s="433">
        <f t="shared" si="20"/>
        <v>917748</v>
      </c>
      <c r="AD42" s="433">
        <f t="shared" si="20"/>
        <v>917748</v>
      </c>
      <c r="AE42" s="433">
        <f t="shared" si="20"/>
        <v>917748</v>
      </c>
      <c r="AF42" s="433">
        <f t="shared" si="20"/>
        <v>917748</v>
      </c>
      <c r="AG42" s="433">
        <f t="shared" si="20"/>
        <v>917748</v>
      </c>
    </row>
    <row r="43" spans="2:33" ht="12" thickTop="1">
      <c r="B43" s="431" t="s">
        <v>231</v>
      </c>
      <c r="C43" s="430">
        <f t="shared" si="18"/>
        <v>617527953.00000012</v>
      </c>
      <c r="D43" s="430">
        <f t="shared" ref="D43:AG43" si="21">SUM(D40,D42)</f>
        <v>0</v>
      </c>
      <c r="E43" s="430">
        <f t="shared" si="21"/>
        <v>0</v>
      </c>
      <c r="F43" s="430">
        <f t="shared" si="21"/>
        <v>-585036</v>
      </c>
      <c r="G43" s="430">
        <f t="shared" si="21"/>
        <v>-55756332</v>
      </c>
      <c r="H43" s="430">
        <f t="shared" si="21"/>
        <v>-77789079</v>
      </c>
      <c r="I43" s="430">
        <f t="shared" si="21"/>
        <v>-58475663.999999985</v>
      </c>
      <c r="J43" s="430">
        <f t="shared" si="21"/>
        <v>-58475663.999999985</v>
      </c>
      <c r="K43" s="430">
        <f t="shared" si="21"/>
        <v>41874336.000000015</v>
      </c>
      <c r="L43" s="430">
        <f t="shared" si="21"/>
        <v>41874336.000000015</v>
      </c>
      <c r="M43" s="430">
        <f t="shared" si="21"/>
        <v>41874336.000000015</v>
      </c>
      <c r="N43" s="430">
        <f t="shared" si="21"/>
        <v>41874336.000000015</v>
      </c>
      <c r="O43" s="430">
        <f t="shared" si="21"/>
        <v>41874336.000000015</v>
      </c>
      <c r="P43" s="430">
        <f t="shared" si="21"/>
        <v>41874336.000000015</v>
      </c>
      <c r="Q43" s="430">
        <f t="shared" si="21"/>
        <v>41874336.000000015</v>
      </c>
      <c r="R43" s="430">
        <f t="shared" si="21"/>
        <v>41874336.000000015</v>
      </c>
      <c r="S43" s="430">
        <f t="shared" si="21"/>
        <v>41874336.000000015</v>
      </c>
      <c r="T43" s="430">
        <f t="shared" si="21"/>
        <v>41874336.000000015</v>
      </c>
      <c r="U43" s="430">
        <f t="shared" si="21"/>
        <v>41874336.000000015</v>
      </c>
      <c r="V43" s="430">
        <f t="shared" si="21"/>
        <v>25674336.000000015</v>
      </c>
      <c r="W43" s="430">
        <f t="shared" si="21"/>
        <v>15774336.000000015</v>
      </c>
      <c r="X43" s="430">
        <f t="shared" si="21"/>
        <v>15774336.000000015</v>
      </c>
      <c r="Y43" s="430">
        <f t="shared" si="21"/>
        <v>15774336.000000015</v>
      </c>
      <c r="Z43" s="430">
        <f t="shared" si="21"/>
        <v>41874336.000000015</v>
      </c>
      <c r="AA43" s="430">
        <f t="shared" si="21"/>
        <v>41874336.000000015</v>
      </c>
      <c r="AB43" s="430">
        <f t="shared" si="21"/>
        <v>41874336.000000015</v>
      </c>
      <c r="AC43" s="430">
        <f t="shared" si="21"/>
        <v>41874336.000000015</v>
      </c>
      <c r="AD43" s="430">
        <f t="shared" si="21"/>
        <v>41874336.000000015</v>
      </c>
      <c r="AE43" s="430">
        <f t="shared" si="21"/>
        <v>41874336.000000015</v>
      </c>
      <c r="AF43" s="430">
        <f t="shared" si="21"/>
        <v>41874336.000000015</v>
      </c>
      <c r="AG43" s="430">
        <f t="shared" si="21"/>
        <v>41874336.000000015</v>
      </c>
    </row>
    <row r="45" spans="2:33">
      <c r="B45" s="432" t="s">
        <v>216</v>
      </c>
    </row>
    <row r="46" spans="2:33">
      <c r="B46" s="432" t="s">
        <v>217</v>
      </c>
    </row>
  </sheetData>
  <sheetProtection algorithmName="SHA-512" hashValue="4ptd++1lYiZzRUhRS0W0bW/SPEMNpta/kCUaaKbRvoQFHxY7j8lh7Wt9Z/5dlJA94ALXn32LEBIjdoUHvsDRsw==" saltValue="jaNa+LpgTRFP4WDZHfnErA==" spinCount="100000" sheet="1" objects="1" scenarios="1"/>
  <pageMargins left="0.19687499999999999" right="0.26250000000000001" top="0.88958333333333328" bottom="0.7" header="0.5" footer="0.5"/>
  <pageSetup paperSize="9" scale="70" orientation="landscape" r:id="rId1"/>
  <headerFooter alignWithMargins="0">
    <oddHeader>&amp;LPríloha 7: Štandardné tabuľky - Cesty
&amp;"Arial,Tučné"&amp;12 03 Náklady na prevádzku a údržbu</oddHeader>
    <oddFooter>Strana &amp;P z &amp;N</oddFooter>
  </headerFooter>
  <ignoredErrors>
    <ignoredError sqref="D29:AG29 C40:AG40" formula="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7A71-4134-46A2-87FC-9752154C4867}">
  <sheetPr>
    <tabColor theme="0" tint="-0.14999847407452621"/>
  </sheetPr>
  <dimension ref="A1:BY91"/>
  <sheetViews>
    <sheetView topLeftCell="A21" workbookViewId="0">
      <selection activeCell="B6" sqref="B6:G6"/>
    </sheetView>
  </sheetViews>
  <sheetFormatPr defaultColWidth="8.85546875" defaultRowHeight="12.75"/>
  <cols>
    <col min="1" max="1" width="1.42578125" style="428" customWidth="1"/>
    <col min="2" max="2" width="32.140625" style="428" bestFit="1" customWidth="1"/>
    <col min="3" max="3" width="11.42578125" style="428" bestFit="1" customWidth="1"/>
    <col min="4" max="4" width="11.140625" style="428" customWidth="1"/>
    <col min="5" max="5" width="9.42578125" style="428" customWidth="1"/>
    <col min="6" max="6" width="11.140625" style="428" customWidth="1"/>
    <col min="7" max="7" width="10" style="428" customWidth="1"/>
    <col min="8" max="37" width="9.85546875" style="428" bestFit="1" customWidth="1"/>
    <col min="38" max="16384" width="8.85546875" style="428"/>
  </cols>
  <sheetData>
    <row r="1" spans="1:37">
      <c r="B1" s="904"/>
      <c r="C1" s="904"/>
      <c r="D1" s="904"/>
      <c r="E1" s="904"/>
      <c r="F1" s="904"/>
      <c r="G1" s="904"/>
      <c r="H1" s="905"/>
      <c r="I1" s="905"/>
      <c r="J1" s="905"/>
      <c r="K1" s="905"/>
      <c r="L1" s="905"/>
      <c r="M1" s="905"/>
      <c r="N1" s="905"/>
      <c r="O1" s="905"/>
      <c r="P1" s="905"/>
      <c r="Q1" s="905"/>
      <c r="R1" s="905"/>
      <c r="S1" s="905"/>
      <c r="T1" s="905"/>
      <c r="U1" s="905"/>
      <c r="V1" s="905"/>
      <c r="W1" s="905"/>
      <c r="X1" s="905"/>
      <c r="Y1" s="905"/>
      <c r="Z1" s="905"/>
      <c r="AA1" s="905"/>
      <c r="AB1" s="905"/>
      <c r="AC1" s="905"/>
      <c r="AD1" s="905"/>
      <c r="AE1" s="905"/>
      <c r="AF1" s="905"/>
      <c r="AG1" s="905"/>
      <c r="AH1" s="905"/>
      <c r="AI1" s="905"/>
      <c r="AJ1" s="905"/>
      <c r="AK1" s="905"/>
    </row>
    <row r="2" spans="1:37">
      <c r="A2" s="452"/>
      <c r="B2" s="906" t="s">
        <v>542</v>
      </c>
      <c r="C2" s="906"/>
      <c r="D2" s="906"/>
      <c r="E2" s="906"/>
      <c r="F2" s="906"/>
      <c r="G2" s="907"/>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row>
    <row r="3" spans="1:37">
      <c r="A3" s="452"/>
      <c r="B3" s="906"/>
      <c r="C3" s="906"/>
      <c r="D3" s="906"/>
      <c r="E3" s="906"/>
      <c r="F3" s="906"/>
      <c r="G3" s="907"/>
      <c r="H3" s="452"/>
      <c r="I3" s="452"/>
      <c r="J3" s="452"/>
      <c r="K3" s="452"/>
      <c r="L3" s="452"/>
      <c r="M3" s="452"/>
      <c r="N3" s="452"/>
      <c r="O3" s="452"/>
      <c r="P3" s="452"/>
      <c r="Q3" s="452"/>
      <c r="R3" s="452"/>
      <c r="S3" s="452"/>
      <c r="T3" s="452"/>
      <c r="U3" s="452"/>
      <c r="V3" s="452"/>
      <c r="W3" s="452"/>
      <c r="X3" s="452"/>
      <c r="Y3" s="452"/>
      <c r="Z3" s="452"/>
      <c r="AA3" s="452"/>
      <c r="AB3" s="452"/>
      <c r="AC3" s="452"/>
      <c r="AD3" s="452"/>
      <c r="AE3" s="452"/>
      <c r="AF3" s="452"/>
      <c r="AG3" s="452"/>
      <c r="AH3" s="452"/>
      <c r="AI3" s="452"/>
      <c r="AJ3" s="452"/>
      <c r="AK3" s="452"/>
    </row>
    <row r="4" spans="1:37" s="429" customFormat="1">
      <c r="A4" s="485"/>
      <c r="B4" s="906"/>
      <c r="C4" s="906"/>
      <c r="D4" s="906"/>
      <c r="E4" s="906"/>
      <c r="F4" s="906"/>
      <c r="G4" s="907"/>
      <c r="H4" s="485"/>
      <c r="I4" s="485"/>
      <c r="J4" s="485"/>
      <c r="K4" s="485"/>
      <c r="L4" s="485"/>
      <c r="M4" s="485"/>
      <c r="N4" s="485"/>
      <c r="O4" s="485"/>
      <c r="P4" s="485"/>
      <c r="Q4" s="485"/>
      <c r="R4" s="485"/>
      <c r="S4" s="485"/>
      <c r="T4" s="485"/>
      <c r="U4" s="485"/>
      <c r="V4" s="485"/>
      <c r="W4" s="485"/>
      <c r="X4" s="485"/>
      <c r="Y4" s="485"/>
      <c r="Z4" s="485"/>
      <c r="AA4" s="485"/>
      <c r="AB4" s="485"/>
      <c r="AC4" s="485"/>
      <c r="AD4" s="485"/>
      <c r="AE4" s="485"/>
      <c r="AF4" s="485"/>
      <c r="AG4" s="485"/>
      <c r="AH4" s="485"/>
      <c r="AI4" s="485"/>
      <c r="AJ4" s="485"/>
      <c r="AK4" s="485"/>
    </row>
    <row r="5" spans="1:37">
      <c r="A5" s="452"/>
      <c r="B5" s="908" t="s">
        <v>541</v>
      </c>
      <c r="C5" s="909"/>
      <c r="D5" s="909"/>
      <c r="E5" s="909"/>
      <c r="F5" s="909"/>
      <c r="G5" s="910"/>
      <c r="H5" s="452"/>
      <c r="I5" s="554"/>
      <c r="J5" s="452"/>
      <c r="K5" s="452"/>
      <c r="L5" s="452"/>
      <c r="M5" s="452"/>
      <c r="N5" s="452"/>
      <c r="O5" s="452"/>
      <c r="P5" s="452"/>
      <c r="Q5" s="452"/>
      <c r="R5" s="452"/>
      <c r="S5" s="452"/>
      <c r="T5" s="452"/>
      <c r="U5" s="452"/>
      <c r="V5" s="452"/>
      <c r="W5" s="452"/>
      <c r="X5" s="452"/>
      <c r="Y5" s="452"/>
      <c r="Z5" s="452"/>
      <c r="AA5" s="452"/>
      <c r="AB5" s="452"/>
      <c r="AC5" s="452"/>
      <c r="AD5" s="452"/>
      <c r="AE5" s="452"/>
      <c r="AF5" s="452"/>
      <c r="AG5" s="452"/>
      <c r="AH5" s="452"/>
      <c r="AI5" s="452"/>
      <c r="AJ5" s="452"/>
      <c r="AK5" s="452"/>
    </row>
    <row r="6" spans="1:37">
      <c r="A6" s="452"/>
      <c r="B6" s="908" t="s">
        <v>540</v>
      </c>
      <c r="C6" s="909"/>
      <c r="D6" s="909"/>
      <c r="E6" s="909"/>
      <c r="F6" s="909"/>
      <c r="G6" s="910"/>
      <c r="H6" s="452"/>
      <c r="I6" s="554"/>
      <c r="J6" s="452"/>
      <c r="K6" s="452"/>
      <c r="L6" s="452"/>
      <c r="M6" s="452"/>
      <c r="N6" s="452"/>
      <c r="O6" s="452"/>
      <c r="P6" s="452"/>
      <c r="Q6" s="452"/>
      <c r="R6" s="452"/>
      <c r="S6" s="452"/>
      <c r="T6" s="452"/>
      <c r="U6" s="452"/>
      <c r="V6" s="452"/>
      <c r="W6" s="452"/>
      <c r="X6" s="452"/>
      <c r="Y6" s="452"/>
      <c r="Z6" s="452"/>
      <c r="AA6" s="452"/>
      <c r="AB6" s="452"/>
      <c r="AC6" s="452"/>
      <c r="AD6" s="452"/>
      <c r="AE6" s="452"/>
      <c r="AF6" s="452"/>
      <c r="AG6" s="452"/>
      <c r="AH6" s="452"/>
      <c r="AI6" s="452"/>
      <c r="AJ6" s="452"/>
      <c r="AK6" s="452"/>
    </row>
    <row r="7" spans="1:37">
      <c r="A7" s="452"/>
      <c r="B7" s="908" t="s">
        <v>539</v>
      </c>
      <c r="C7" s="909"/>
      <c r="D7" s="909"/>
      <c r="E7" s="909"/>
      <c r="F7" s="909"/>
      <c r="G7" s="910"/>
      <c r="H7" s="452"/>
      <c r="I7" s="452"/>
      <c r="J7" s="452"/>
      <c r="K7" s="452"/>
      <c r="L7" s="452"/>
      <c r="M7" s="452"/>
      <c r="N7" s="452"/>
      <c r="O7" s="452"/>
      <c r="P7" s="452"/>
      <c r="Q7" s="452"/>
      <c r="R7" s="452"/>
      <c r="S7" s="452"/>
      <c r="T7" s="452"/>
      <c r="U7" s="452"/>
      <c r="V7" s="452"/>
      <c r="W7" s="452"/>
      <c r="X7" s="452"/>
      <c r="Y7" s="452"/>
      <c r="Z7" s="452"/>
      <c r="AA7" s="452"/>
      <c r="AB7" s="452"/>
      <c r="AC7" s="452"/>
      <c r="AD7" s="452"/>
      <c r="AE7" s="452"/>
      <c r="AF7" s="452"/>
      <c r="AG7" s="452"/>
      <c r="AH7" s="452"/>
      <c r="AI7" s="452"/>
      <c r="AJ7" s="452"/>
      <c r="AK7" s="452"/>
    </row>
    <row r="8" spans="1:37">
      <c r="A8" s="452"/>
      <c r="B8" s="452"/>
      <c r="C8" s="452"/>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row>
    <row r="9" spans="1:37" ht="13.5" thickBot="1">
      <c r="A9" s="452"/>
      <c r="B9" s="542"/>
      <c r="C9" s="542"/>
      <c r="D9" s="542"/>
      <c r="E9" s="542"/>
      <c r="F9" s="542"/>
      <c r="G9" s="542"/>
      <c r="H9" s="542"/>
      <c r="I9" s="542"/>
      <c r="J9" s="542"/>
      <c r="K9" s="542"/>
      <c r="L9" s="542"/>
      <c r="M9" s="542"/>
      <c r="N9" s="542"/>
      <c r="O9" s="542"/>
      <c r="P9" s="542"/>
      <c r="Q9" s="542"/>
      <c r="R9" s="542"/>
      <c r="S9" s="542"/>
      <c r="T9" s="542"/>
      <c r="U9" s="542"/>
      <c r="V9" s="542"/>
      <c r="W9" s="542"/>
      <c r="X9" s="542"/>
      <c r="Y9" s="542"/>
      <c r="Z9" s="542"/>
      <c r="AA9" s="542"/>
      <c r="AB9" s="542"/>
      <c r="AC9" s="542"/>
      <c r="AD9" s="542"/>
      <c r="AE9" s="542"/>
      <c r="AF9" s="542"/>
      <c r="AG9" s="542"/>
      <c r="AH9" s="542"/>
      <c r="AI9" s="542"/>
      <c r="AJ9" s="542"/>
      <c r="AK9" s="542"/>
    </row>
    <row r="10" spans="1:37">
      <c r="A10" s="452"/>
      <c r="B10" s="892" t="s">
        <v>538</v>
      </c>
      <c r="C10" s="507" t="s">
        <v>532</v>
      </c>
      <c r="D10" s="894" t="s">
        <v>531</v>
      </c>
      <c r="E10" s="894" t="s">
        <v>530</v>
      </c>
      <c r="F10" s="911" t="s">
        <v>529</v>
      </c>
      <c r="G10" s="506" t="s">
        <v>528</v>
      </c>
      <c r="H10" s="505">
        <v>2023</v>
      </c>
      <c r="I10" s="504">
        <f>H10+1</f>
        <v>2024</v>
      </c>
      <c r="J10" s="504">
        <f>I10+1</f>
        <v>2025</v>
      </c>
      <c r="K10" s="504">
        <f t="shared" ref="K10:AI10" si="0">J10+1</f>
        <v>2026</v>
      </c>
      <c r="L10" s="504">
        <f t="shared" si="0"/>
        <v>2027</v>
      </c>
      <c r="M10" s="504">
        <f t="shared" si="0"/>
        <v>2028</v>
      </c>
      <c r="N10" s="504">
        <f t="shared" si="0"/>
        <v>2029</v>
      </c>
      <c r="O10" s="504">
        <f t="shared" si="0"/>
        <v>2030</v>
      </c>
      <c r="P10" s="504">
        <f t="shared" si="0"/>
        <v>2031</v>
      </c>
      <c r="Q10" s="504">
        <f t="shared" si="0"/>
        <v>2032</v>
      </c>
      <c r="R10" s="504">
        <f t="shared" si="0"/>
        <v>2033</v>
      </c>
      <c r="S10" s="504">
        <f t="shared" si="0"/>
        <v>2034</v>
      </c>
      <c r="T10" s="504">
        <f t="shared" si="0"/>
        <v>2035</v>
      </c>
      <c r="U10" s="504">
        <f t="shared" si="0"/>
        <v>2036</v>
      </c>
      <c r="V10" s="504">
        <f t="shared" si="0"/>
        <v>2037</v>
      </c>
      <c r="W10" s="504">
        <f t="shared" si="0"/>
        <v>2038</v>
      </c>
      <c r="X10" s="504">
        <f t="shared" si="0"/>
        <v>2039</v>
      </c>
      <c r="Y10" s="504">
        <f t="shared" si="0"/>
        <v>2040</v>
      </c>
      <c r="Z10" s="504">
        <f t="shared" si="0"/>
        <v>2041</v>
      </c>
      <c r="AA10" s="504">
        <f t="shared" si="0"/>
        <v>2042</v>
      </c>
      <c r="AB10" s="504">
        <f t="shared" si="0"/>
        <v>2043</v>
      </c>
      <c r="AC10" s="504">
        <f t="shared" si="0"/>
        <v>2044</v>
      </c>
      <c r="AD10" s="504">
        <f t="shared" si="0"/>
        <v>2045</v>
      </c>
      <c r="AE10" s="504">
        <f t="shared" si="0"/>
        <v>2046</v>
      </c>
      <c r="AF10" s="504">
        <f t="shared" si="0"/>
        <v>2047</v>
      </c>
      <c r="AG10" s="504">
        <f t="shared" si="0"/>
        <v>2048</v>
      </c>
      <c r="AH10" s="504">
        <f t="shared" si="0"/>
        <v>2049</v>
      </c>
      <c r="AI10" s="504">
        <f t="shared" si="0"/>
        <v>2050</v>
      </c>
      <c r="AJ10" s="504">
        <f>AI10+1</f>
        <v>2051</v>
      </c>
      <c r="AK10" s="504">
        <f>AJ10+1</f>
        <v>2052</v>
      </c>
    </row>
    <row r="11" spans="1:37">
      <c r="A11" s="452"/>
      <c r="B11" s="893"/>
      <c r="C11" s="503" t="s">
        <v>527</v>
      </c>
      <c r="D11" s="895"/>
      <c r="E11" s="895"/>
      <c r="F11" s="912"/>
      <c r="G11" s="435" t="s">
        <v>526</v>
      </c>
      <c r="H11" s="435">
        <v>17</v>
      </c>
      <c r="I11" s="435">
        <v>17</v>
      </c>
      <c r="J11" s="435">
        <v>17</v>
      </c>
      <c r="K11" s="435">
        <v>17</v>
      </c>
      <c r="L11" s="435">
        <v>17</v>
      </c>
      <c r="M11" s="435">
        <v>17</v>
      </c>
      <c r="N11" s="435">
        <v>17</v>
      </c>
      <c r="O11" s="435">
        <v>17</v>
      </c>
      <c r="P11" s="435">
        <v>17</v>
      </c>
      <c r="Q11" s="435">
        <v>17</v>
      </c>
      <c r="R11" s="435">
        <v>17</v>
      </c>
      <c r="S11" s="435">
        <v>17</v>
      </c>
      <c r="T11" s="435">
        <v>17</v>
      </c>
      <c r="U11" s="435">
        <v>17</v>
      </c>
      <c r="V11" s="435">
        <v>17</v>
      </c>
      <c r="W11" s="435">
        <v>17</v>
      </c>
      <c r="X11" s="435">
        <v>17</v>
      </c>
      <c r="Y11" s="435">
        <v>17</v>
      </c>
      <c r="Z11" s="435">
        <v>17</v>
      </c>
      <c r="AA11" s="435">
        <v>17</v>
      </c>
      <c r="AB11" s="435">
        <v>17</v>
      </c>
      <c r="AC11" s="435">
        <v>17</v>
      </c>
      <c r="AD11" s="435">
        <v>17</v>
      </c>
      <c r="AE11" s="435">
        <v>17</v>
      </c>
      <c r="AF11" s="435">
        <v>17</v>
      </c>
      <c r="AG11" s="435">
        <v>17</v>
      </c>
      <c r="AH11" s="435">
        <v>17</v>
      </c>
      <c r="AI11" s="435">
        <v>17</v>
      </c>
      <c r="AJ11" s="435">
        <v>17</v>
      </c>
      <c r="AK11" s="435">
        <v>17</v>
      </c>
    </row>
    <row r="12" spans="1:37" s="429" customFormat="1" ht="13.5" thickBot="1">
      <c r="A12" s="485"/>
      <c r="B12" s="500" t="s">
        <v>525</v>
      </c>
      <c r="C12" s="499">
        <f>340*900</f>
        <v>306000</v>
      </c>
      <c r="D12" s="896"/>
      <c r="E12" s="896"/>
      <c r="F12" s="913"/>
      <c r="G12" s="553" t="s">
        <v>524</v>
      </c>
      <c r="H12" s="553">
        <v>13</v>
      </c>
      <c r="I12" s="553">
        <v>13</v>
      </c>
      <c r="J12" s="553">
        <v>13</v>
      </c>
      <c r="K12" s="553">
        <v>13</v>
      </c>
      <c r="L12" s="553">
        <v>13</v>
      </c>
      <c r="M12" s="553">
        <v>13</v>
      </c>
      <c r="N12" s="553">
        <v>13</v>
      </c>
      <c r="O12" s="553">
        <v>13</v>
      </c>
      <c r="P12" s="553">
        <v>13</v>
      </c>
      <c r="Q12" s="553">
        <v>13</v>
      </c>
      <c r="R12" s="553">
        <v>13</v>
      </c>
      <c r="S12" s="553">
        <v>13</v>
      </c>
      <c r="T12" s="553">
        <v>13</v>
      </c>
      <c r="U12" s="553">
        <v>13</v>
      </c>
      <c r="V12" s="553">
        <v>13</v>
      </c>
      <c r="W12" s="553">
        <v>13</v>
      </c>
      <c r="X12" s="553">
        <v>13</v>
      </c>
      <c r="Y12" s="553">
        <v>13</v>
      </c>
      <c r="Z12" s="553">
        <v>13</v>
      </c>
      <c r="AA12" s="553">
        <v>13</v>
      </c>
      <c r="AB12" s="553">
        <v>13</v>
      </c>
      <c r="AC12" s="553">
        <v>13</v>
      </c>
      <c r="AD12" s="553">
        <v>13</v>
      </c>
      <c r="AE12" s="553">
        <v>13</v>
      </c>
      <c r="AF12" s="553">
        <v>13</v>
      </c>
      <c r="AG12" s="553">
        <v>13</v>
      </c>
      <c r="AH12" s="553">
        <v>13</v>
      </c>
      <c r="AI12" s="553">
        <v>13</v>
      </c>
      <c r="AJ12" s="553">
        <v>13</v>
      </c>
      <c r="AK12" s="553">
        <v>13</v>
      </c>
    </row>
    <row r="13" spans="1:37" s="429" customFormat="1">
      <c r="A13" s="485"/>
      <c r="B13" s="496" t="s">
        <v>523</v>
      </c>
      <c r="C13" s="495" t="s">
        <v>276</v>
      </c>
      <c r="D13" s="494">
        <v>0.88</v>
      </c>
      <c r="E13" s="493">
        <f t="shared" ref="E13" si="1">900*340</f>
        <v>306000</v>
      </c>
      <c r="F13" s="492">
        <f>D13*E13</f>
        <v>269280</v>
      </c>
      <c r="G13" s="914"/>
      <c r="H13" s="552">
        <f>$F$13*H11</f>
        <v>4577760</v>
      </c>
      <c r="I13" s="551">
        <f t="shared" ref="I13:AK13" si="2">$F$13*I11</f>
        <v>4577760</v>
      </c>
      <c r="J13" s="551">
        <f t="shared" si="2"/>
        <v>4577760</v>
      </c>
      <c r="K13" s="551">
        <f t="shared" si="2"/>
        <v>4577760</v>
      </c>
      <c r="L13" s="551">
        <f t="shared" si="2"/>
        <v>4577760</v>
      </c>
      <c r="M13" s="551">
        <f t="shared" si="2"/>
        <v>4577760</v>
      </c>
      <c r="N13" s="551">
        <f t="shared" si="2"/>
        <v>4577760</v>
      </c>
      <c r="O13" s="551">
        <f t="shared" si="2"/>
        <v>4577760</v>
      </c>
      <c r="P13" s="551">
        <f t="shared" si="2"/>
        <v>4577760</v>
      </c>
      <c r="Q13" s="551">
        <f t="shared" si="2"/>
        <v>4577760</v>
      </c>
      <c r="R13" s="551">
        <f t="shared" si="2"/>
        <v>4577760</v>
      </c>
      <c r="S13" s="551">
        <f t="shared" si="2"/>
        <v>4577760</v>
      </c>
      <c r="T13" s="551">
        <f t="shared" si="2"/>
        <v>4577760</v>
      </c>
      <c r="U13" s="551">
        <f t="shared" si="2"/>
        <v>4577760</v>
      </c>
      <c r="V13" s="551">
        <f t="shared" si="2"/>
        <v>4577760</v>
      </c>
      <c r="W13" s="551">
        <f t="shared" si="2"/>
        <v>4577760</v>
      </c>
      <c r="X13" s="551">
        <f t="shared" si="2"/>
        <v>4577760</v>
      </c>
      <c r="Y13" s="551">
        <f t="shared" si="2"/>
        <v>4577760</v>
      </c>
      <c r="Z13" s="551">
        <f t="shared" si="2"/>
        <v>4577760</v>
      </c>
      <c r="AA13" s="551">
        <f t="shared" si="2"/>
        <v>4577760</v>
      </c>
      <c r="AB13" s="551">
        <f t="shared" si="2"/>
        <v>4577760</v>
      </c>
      <c r="AC13" s="551">
        <f t="shared" si="2"/>
        <v>4577760</v>
      </c>
      <c r="AD13" s="551">
        <f t="shared" si="2"/>
        <v>4577760</v>
      </c>
      <c r="AE13" s="551">
        <f t="shared" si="2"/>
        <v>4577760</v>
      </c>
      <c r="AF13" s="551">
        <f t="shared" si="2"/>
        <v>4577760</v>
      </c>
      <c r="AG13" s="551">
        <f t="shared" si="2"/>
        <v>4577760</v>
      </c>
      <c r="AH13" s="551">
        <f t="shared" si="2"/>
        <v>4577760</v>
      </c>
      <c r="AI13" s="551">
        <f t="shared" si="2"/>
        <v>4577760</v>
      </c>
      <c r="AJ13" s="551">
        <f t="shared" si="2"/>
        <v>4577760</v>
      </c>
      <c r="AK13" s="550">
        <f t="shared" si="2"/>
        <v>4577760</v>
      </c>
    </row>
    <row r="14" spans="1:37" s="429" customFormat="1">
      <c r="A14" s="485"/>
      <c r="B14" s="477" t="s">
        <v>522</v>
      </c>
      <c r="C14" s="476" t="s">
        <v>276</v>
      </c>
      <c r="D14" s="549"/>
      <c r="E14" s="549"/>
      <c r="F14" s="528"/>
      <c r="G14" s="914"/>
      <c r="H14" s="532"/>
      <c r="I14" s="531"/>
      <c r="J14" s="531"/>
      <c r="K14" s="531"/>
      <c r="L14" s="531"/>
      <c r="M14" s="531"/>
      <c r="N14" s="531"/>
      <c r="O14" s="531"/>
      <c r="P14" s="531"/>
      <c r="Q14" s="531"/>
      <c r="R14" s="531"/>
      <c r="S14" s="531"/>
      <c r="T14" s="531"/>
      <c r="U14" s="531"/>
      <c r="V14" s="531"/>
      <c r="W14" s="531"/>
      <c r="X14" s="531"/>
      <c r="Y14" s="531"/>
      <c r="Z14" s="531"/>
      <c r="AA14" s="531"/>
      <c r="AB14" s="531"/>
      <c r="AC14" s="531"/>
      <c r="AD14" s="531"/>
      <c r="AE14" s="531"/>
      <c r="AF14" s="531"/>
      <c r="AG14" s="531"/>
      <c r="AH14" s="531"/>
      <c r="AI14" s="531"/>
      <c r="AJ14" s="531"/>
      <c r="AK14" s="530"/>
    </row>
    <row r="15" spans="1:37">
      <c r="A15" s="452"/>
      <c r="B15" s="477" t="s">
        <v>521</v>
      </c>
      <c r="C15" s="476" t="s">
        <v>276</v>
      </c>
      <c r="D15" s="475">
        <v>0.04</v>
      </c>
      <c r="E15" s="474">
        <f>900*340</f>
        <v>306000</v>
      </c>
      <c r="F15" s="473">
        <f>D15*E15</f>
        <v>12240</v>
      </c>
      <c r="G15" s="914"/>
      <c r="H15" s="472">
        <f>$F$15*H11</f>
        <v>208080</v>
      </c>
      <c r="I15" s="471">
        <f>$F$15*I11</f>
        <v>208080</v>
      </c>
      <c r="J15" s="471">
        <f t="shared" ref="J15:AK15" si="3">$F$15*J11</f>
        <v>208080</v>
      </c>
      <c r="K15" s="471">
        <f t="shared" si="3"/>
        <v>208080</v>
      </c>
      <c r="L15" s="471">
        <f t="shared" si="3"/>
        <v>208080</v>
      </c>
      <c r="M15" s="471">
        <f t="shared" si="3"/>
        <v>208080</v>
      </c>
      <c r="N15" s="471">
        <f t="shared" si="3"/>
        <v>208080</v>
      </c>
      <c r="O15" s="471">
        <f t="shared" si="3"/>
        <v>208080</v>
      </c>
      <c r="P15" s="471">
        <f t="shared" si="3"/>
        <v>208080</v>
      </c>
      <c r="Q15" s="471">
        <f t="shared" si="3"/>
        <v>208080</v>
      </c>
      <c r="R15" s="471">
        <f t="shared" si="3"/>
        <v>208080</v>
      </c>
      <c r="S15" s="471">
        <f t="shared" si="3"/>
        <v>208080</v>
      </c>
      <c r="T15" s="471">
        <f t="shared" si="3"/>
        <v>208080</v>
      </c>
      <c r="U15" s="471">
        <f t="shared" si="3"/>
        <v>208080</v>
      </c>
      <c r="V15" s="471">
        <f t="shared" si="3"/>
        <v>208080</v>
      </c>
      <c r="W15" s="471">
        <f t="shared" si="3"/>
        <v>208080</v>
      </c>
      <c r="X15" s="471">
        <f t="shared" si="3"/>
        <v>208080</v>
      </c>
      <c r="Y15" s="471">
        <f t="shared" si="3"/>
        <v>208080</v>
      </c>
      <c r="Z15" s="471">
        <f t="shared" si="3"/>
        <v>208080</v>
      </c>
      <c r="AA15" s="471">
        <f t="shared" si="3"/>
        <v>208080</v>
      </c>
      <c r="AB15" s="471">
        <f t="shared" si="3"/>
        <v>208080</v>
      </c>
      <c r="AC15" s="471">
        <f t="shared" si="3"/>
        <v>208080</v>
      </c>
      <c r="AD15" s="471">
        <f t="shared" si="3"/>
        <v>208080</v>
      </c>
      <c r="AE15" s="471">
        <f t="shared" si="3"/>
        <v>208080</v>
      </c>
      <c r="AF15" s="471">
        <f t="shared" si="3"/>
        <v>208080</v>
      </c>
      <c r="AG15" s="471">
        <f t="shared" si="3"/>
        <v>208080</v>
      </c>
      <c r="AH15" s="471">
        <f t="shared" si="3"/>
        <v>208080</v>
      </c>
      <c r="AI15" s="471">
        <f t="shared" si="3"/>
        <v>208080</v>
      </c>
      <c r="AJ15" s="471">
        <f t="shared" si="3"/>
        <v>208080</v>
      </c>
      <c r="AK15" s="470">
        <f t="shared" si="3"/>
        <v>208080</v>
      </c>
    </row>
    <row r="16" spans="1:37">
      <c r="A16" s="452"/>
      <c r="B16" s="477" t="s">
        <v>284</v>
      </c>
      <c r="C16" s="476" t="s">
        <v>276</v>
      </c>
      <c r="D16" s="484"/>
      <c r="E16" s="529"/>
      <c r="F16" s="528"/>
      <c r="G16" s="914"/>
      <c r="H16" s="532"/>
      <c r="I16" s="531"/>
      <c r="J16" s="531"/>
      <c r="K16" s="531"/>
      <c r="L16" s="531"/>
      <c r="M16" s="531"/>
      <c r="N16" s="531"/>
      <c r="O16" s="531"/>
      <c r="P16" s="531"/>
      <c r="Q16" s="531"/>
      <c r="R16" s="531"/>
      <c r="S16" s="531"/>
      <c r="T16" s="531"/>
      <c r="U16" s="531"/>
      <c r="V16" s="531"/>
      <c r="W16" s="531"/>
      <c r="X16" s="531"/>
      <c r="Y16" s="531"/>
      <c r="Z16" s="531"/>
      <c r="AA16" s="531"/>
      <c r="AB16" s="531"/>
      <c r="AC16" s="531"/>
      <c r="AD16" s="531"/>
      <c r="AE16" s="531"/>
      <c r="AF16" s="531"/>
      <c r="AG16" s="531"/>
      <c r="AH16" s="531"/>
      <c r="AI16" s="531"/>
      <c r="AJ16" s="531"/>
      <c r="AK16" s="530"/>
    </row>
    <row r="17" spans="1:40">
      <c r="A17" s="452"/>
      <c r="B17" s="477" t="s">
        <v>287</v>
      </c>
      <c r="C17" s="476" t="s">
        <v>276</v>
      </c>
      <c r="D17" s="475">
        <v>4.6900000000000004</v>
      </c>
      <c r="E17" s="474">
        <f>C12</f>
        <v>306000</v>
      </c>
      <c r="F17" s="473">
        <f>D17*E17</f>
        <v>1435140.0000000002</v>
      </c>
      <c r="G17" s="914"/>
      <c r="H17" s="472">
        <f>$F$17*H11</f>
        <v>24397380.000000004</v>
      </c>
      <c r="I17" s="471">
        <f>$F$17*I11</f>
        <v>24397380.000000004</v>
      </c>
      <c r="J17" s="471">
        <f t="shared" ref="J17:AK17" si="4">$F$17*J11</f>
        <v>24397380.000000004</v>
      </c>
      <c r="K17" s="471">
        <f t="shared" si="4"/>
        <v>24397380.000000004</v>
      </c>
      <c r="L17" s="471">
        <f t="shared" si="4"/>
        <v>24397380.000000004</v>
      </c>
      <c r="M17" s="471">
        <f t="shared" si="4"/>
        <v>24397380.000000004</v>
      </c>
      <c r="N17" s="471">
        <f t="shared" si="4"/>
        <v>24397380.000000004</v>
      </c>
      <c r="O17" s="471">
        <f t="shared" si="4"/>
        <v>24397380.000000004</v>
      </c>
      <c r="P17" s="471">
        <f t="shared" si="4"/>
        <v>24397380.000000004</v>
      </c>
      <c r="Q17" s="471">
        <f t="shared" si="4"/>
        <v>24397380.000000004</v>
      </c>
      <c r="R17" s="471">
        <f t="shared" si="4"/>
        <v>24397380.000000004</v>
      </c>
      <c r="S17" s="471">
        <f t="shared" si="4"/>
        <v>24397380.000000004</v>
      </c>
      <c r="T17" s="471">
        <f t="shared" si="4"/>
        <v>24397380.000000004</v>
      </c>
      <c r="U17" s="471">
        <f t="shared" si="4"/>
        <v>24397380.000000004</v>
      </c>
      <c r="V17" s="471">
        <f t="shared" si="4"/>
        <v>24397380.000000004</v>
      </c>
      <c r="W17" s="471">
        <f t="shared" si="4"/>
        <v>24397380.000000004</v>
      </c>
      <c r="X17" s="471">
        <f t="shared" si="4"/>
        <v>24397380.000000004</v>
      </c>
      <c r="Y17" s="471">
        <f t="shared" si="4"/>
        <v>24397380.000000004</v>
      </c>
      <c r="Z17" s="471">
        <f t="shared" si="4"/>
        <v>24397380.000000004</v>
      </c>
      <c r="AA17" s="471">
        <f t="shared" si="4"/>
        <v>24397380.000000004</v>
      </c>
      <c r="AB17" s="471">
        <f t="shared" si="4"/>
        <v>24397380.000000004</v>
      </c>
      <c r="AC17" s="471">
        <f t="shared" si="4"/>
        <v>24397380.000000004</v>
      </c>
      <c r="AD17" s="471">
        <f t="shared" si="4"/>
        <v>24397380.000000004</v>
      </c>
      <c r="AE17" s="471">
        <f t="shared" si="4"/>
        <v>24397380.000000004</v>
      </c>
      <c r="AF17" s="471">
        <f t="shared" si="4"/>
        <v>24397380.000000004</v>
      </c>
      <c r="AG17" s="471">
        <f t="shared" si="4"/>
        <v>24397380.000000004</v>
      </c>
      <c r="AH17" s="471">
        <f t="shared" si="4"/>
        <v>24397380.000000004</v>
      </c>
      <c r="AI17" s="471">
        <f t="shared" si="4"/>
        <v>24397380.000000004</v>
      </c>
      <c r="AJ17" s="471">
        <f t="shared" si="4"/>
        <v>24397380.000000004</v>
      </c>
      <c r="AK17" s="470">
        <f t="shared" si="4"/>
        <v>24397380.000000004</v>
      </c>
    </row>
    <row r="18" spans="1:40">
      <c r="A18" s="452"/>
      <c r="B18" s="477" t="s">
        <v>520</v>
      </c>
      <c r="C18" s="476" t="s">
        <v>276</v>
      </c>
      <c r="D18" s="548">
        <v>0.1</v>
      </c>
      <c r="E18" s="474">
        <f>900*340</f>
        <v>306000</v>
      </c>
      <c r="F18" s="473">
        <f t="shared" ref="F18:F20" si="5">D18*E18</f>
        <v>30600</v>
      </c>
      <c r="G18" s="914"/>
      <c r="H18" s="472">
        <f>$F$18*H11</f>
        <v>520200</v>
      </c>
      <c r="I18" s="471">
        <f t="shared" ref="I18:AK18" si="6">$F$18*I11</f>
        <v>520200</v>
      </c>
      <c r="J18" s="471">
        <f t="shared" si="6"/>
        <v>520200</v>
      </c>
      <c r="K18" s="471">
        <f t="shared" si="6"/>
        <v>520200</v>
      </c>
      <c r="L18" s="471">
        <f t="shared" si="6"/>
        <v>520200</v>
      </c>
      <c r="M18" s="471">
        <f t="shared" si="6"/>
        <v>520200</v>
      </c>
      <c r="N18" s="471">
        <f t="shared" si="6"/>
        <v>520200</v>
      </c>
      <c r="O18" s="471">
        <f t="shared" si="6"/>
        <v>520200</v>
      </c>
      <c r="P18" s="471">
        <f t="shared" si="6"/>
        <v>520200</v>
      </c>
      <c r="Q18" s="471">
        <f t="shared" si="6"/>
        <v>520200</v>
      </c>
      <c r="R18" s="471">
        <f t="shared" si="6"/>
        <v>520200</v>
      </c>
      <c r="S18" s="471">
        <f t="shared" si="6"/>
        <v>520200</v>
      </c>
      <c r="T18" s="471">
        <f t="shared" si="6"/>
        <v>520200</v>
      </c>
      <c r="U18" s="471">
        <f t="shared" si="6"/>
        <v>520200</v>
      </c>
      <c r="V18" s="471">
        <f t="shared" si="6"/>
        <v>520200</v>
      </c>
      <c r="W18" s="471">
        <f t="shared" si="6"/>
        <v>520200</v>
      </c>
      <c r="X18" s="471">
        <f t="shared" si="6"/>
        <v>520200</v>
      </c>
      <c r="Y18" s="471">
        <f t="shared" si="6"/>
        <v>520200</v>
      </c>
      <c r="Z18" s="471">
        <f t="shared" si="6"/>
        <v>520200</v>
      </c>
      <c r="AA18" s="471">
        <f t="shared" si="6"/>
        <v>520200</v>
      </c>
      <c r="AB18" s="471">
        <f t="shared" si="6"/>
        <v>520200</v>
      </c>
      <c r="AC18" s="471">
        <f t="shared" si="6"/>
        <v>520200</v>
      </c>
      <c r="AD18" s="471">
        <f t="shared" si="6"/>
        <v>520200</v>
      </c>
      <c r="AE18" s="471">
        <f t="shared" si="6"/>
        <v>520200</v>
      </c>
      <c r="AF18" s="471">
        <f t="shared" si="6"/>
        <v>520200</v>
      </c>
      <c r="AG18" s="471">
        <f t="shared" si="6"/>
        <v>520200</v>
      </c>
      <c r="AH18" s="471">
        <f t="shared" si="6"/>
        <v>520200</v>
      </c>
      <c r="AI18" s="471">
        <f t="shared" si="6"/>
        <v>520200</v>
      </c>
      <c r="AJ18" s="471">
        <f t="shared" si="6"/>
        <v>520200</v>
      </c>
      <c r="AK18" s="470">
        <f t="shared" si="6"/>
        <v>520200</v>
      </c>
    </row>
    <row r="19" spans="1:40">
      <c r="A19" s="452"/>
      <c r="B19" s="477" t="s">
        <v>330</v>
      </c>
      <c r="C19" s="476" t="s">
        <v>276</v>
      </c>
      <c r="D19" s="475">
        <v>0.11</v>
      </c>
      <c r="E19" s="474">
        <f>900*340</f>
        <v>306000</v>
      </c>
      <c r="F19" s="473">
        <f t="shared" si="5"/>
        <v>33660</v>
      </c>
      <c r="G19" s="914"/>
      <c r="H19" s="472">
        <f>$F$19*H11</f>
        <v>572220</v>
      </c>
      <c r="I19" s="471">
        <f t="shared" ref="I19:AK19" si="7">$F$19*I11</f>
        <v>572220</v>
      </c>
      <c r="J19" s="471">
        <f t="shared" si="7"/>
        <v>572220</v>
      </c>
      <c r="K19" s="471">
        <f t="shared" si="7"/>
        <v>572220</v>
      </c>
      <c r="L19" s="471">
        <f t="shared" si="7"/>
        <v>572220</v>
      </c>
      <c r="M19" s="471">
        <f t="shared" si="7"/>
        <v>572220</v>
      </c>
      <c r="N19" s="471">
        <f t="shared" si="7"/>
        <v>572220</v>
      </c>
      <c r="O19" s="471">
        <f t="shared" si="7"/>
        <v>572220</v>
      </c>
      <c r="P19" s="471">
        <f t="shared" si="7"/>
        <v>572220</v>
      </c>
      <c r="Q19" s="471">
        <f t="shared" si="7"/>
        <v>572220</v>
      </c>
      <c r="R19" s="471">
        <f t="shared" si="7"/>
        <v>572220</v>
      </c>
      <c r="S19" s="471">
        <f t="shared" si="7"/>
        <v>572220</v>
      </c>
      <c r="T19" s="471">
        <f t="shared" si="7"/>
        <v>572220</v>
      </c>
      <c r="U19" s="471">
        <f t="shared" si="7"/>
        <v>572220</v>
      </c>
      <c r="V19" s="471">
        <f t="shared" si="7"/>
        <v>572220</v>
      </c>
      <c r="W19" s="471">
        <f t="shared" si="7"/>
        <v>572220</v>
      </c>
      <c r="X19" s="471">
        <f t="shared" si="7"/>
        <v>572220</v>
      </c>
      <c r="Y19" s="471">
        <f t="shared" si="7"/>
        <v>572220</v>
      </c>
      <c r="Z19" s="471">
        <f t="shared" si="7"/>
        <v>572220</v>
      </c>
      <c r="AA19" s="471">
        <f t="shared" si="7"/>
        <v>572220</v>
      </c>
      <c r="AB19" s="471">
        <f t="shared" si="7"/>
        <v>572220</v>
      </c>
      <c r="AC19" s="471">
        <f t="shared" si="7"/>
        <v>572220</v>
      </c>
      <c r="AD19" s="471">
        <f t="shared" si="7"/>
        <v>572220</v>
      </c>
      <c r="AE19" s="471">
        <f t="shared" si="7"/>
        <v>572220</v>
      </c>
      <c r="AF19" s="471">
        <f t="shared" si="7"/>
        <v>572220</v>
      </c>
      <c r="AG19" s="471">
        <f t="shared" si="7"/>
        <v>572220</v>
      </c>
      <c r="AH19" s="471">
        <f t="shared" si="7"/>
        <v>572220</v>
      </c>
      <c r="AI19" s="471">
        <f t="shared" si="7"/>
        <v>572220</v>
      </c>
      <c r="AJ19" s="471">
        <f t="shared" si="7"/>
        <v>572220</v>
      </c>
      <c r="AK19" s="470">
        <f t="shared" si="7"/>
        <v>572220</v>
      </c>
    </row>
    <row r="20" spans="1:40">
      <c r="A20" s="452"/>
      <c r="B20" s="477" t="s">
        <v>331</v>
      </c>
      <c r="C20" s="476" t="s">
        <v>276</v>
      </c>
      <c r="D20" s="475">
        <v>0.78</v>
      </c>
      <c r="E20" s="474">
        <f>900*340</f>
        <v>306000</v>
      </c>
      <c r="F20" s="473">
        <f t="shared" si="5"/>
        <v>238680</v>
      </c>
      <c r="G20" s="914"/>
      <c r="H20" s="472">
        <f>$F$20*H11</f>
        <v>4057560</v>
      </c>
      <c r="I20" s="471">
        <f t="shared" ref="I20:AK20" si="8">$F$20*I11</f>
        <v>4057560</v>
      </c>
      <c r="J20" s="471">
        <f t="shared" si="8"/>
        <v>4057560</v>
      </c>
      <c r="K20" s="471">
        <f t="shared" si="8"/>
        <v>4057560</v>
      </c>
      <c r="L20" s="471">
        <f t="shared" si="8"/>
        <v>4057560</v>
      </c>
      <c r="M20" s="471">
        <f t="shared" si="8"/>
        <v>4057560</v>
      </c>
      <c r="N20" s="471">
        <f t="shared" si="8"/>
        <v>4057560</v>
      </c>
      <c r="O20" s="471">
        <f t="shared" si="8"/>
        <v>4057560</v>
      </c>
      <c r="P20" s="471">
        <f t="shared" si="8"/>
        <v>4057560</v>
      </c>
      <c r="Q20" s="471">
        <f t="shared" si="8"/>
        <v>4057560</v>
      </c>
      <c r="R20" s="471">
        <f t="shared" si="8"/>
        <v>4057560</v>
      </c>
      <c r="S20" s="471">
        <f t="shared" si="8"/>
        <v>4057560</v>
      </c>
      <c r="T20" s="471">
        <f t="shared" si="8"/>
        <v>4057560</v>
      </c>
      <c r="U20" s="471">
        <f t="shared" si="8"/>
        <v>4057560</v>
      </c>
      <c r="V20" s="471">
        <f t="shared" si="8"/>
        <v>4057560</v>
      </c>
      <c r="W20" s="471">
        <f t="shared" si="8"/>
        <v>4057560</v>
      </c>
      <c r="X20" s="471">
        <f t="shared" si="8"/>
        <v>4057560</v>
      </c>
      <c r="Y20" s="471">
        <f t="shared" si="8"/>
        <v>4057560</v>
      </c>
      <c r="Z20" s="471">
        <f t="shared" si="8"/>
        <v>4057560</v>
      </c>
      <c r="AA20" s="471">
        <f t="shared" si="8"/>
        <v>4057560</v>
      </c>
      <c r="AB20" s="471">
        <f t="shared" si="8"/>
        <v>4057560</v>
      </c>
      <c r="AC20" s="471">
        <f t="shared" si="8"/>
        <v>4057560</v>
      </c>
      <c r="AD20" s="471">
        <f t="shared" si="8"/>
        <v>4057560</v>
      </c>
      <c r="AE20" s="471">
        <f t="shared" si="8"/>
        <v>4057560</v>
      </c>
      <c r="AF20" s="471">
        <f t="shared" si="8"/>
        <v>4057560</v>
      </c>
      <c r="AG20" s="471">
        <f t="shared" si="8"/>
        <v>4057560</v>
      </c>
      <c r="AH20" s="471">
        <f t="shared" si="8"/>
        <v>4057560</v>
      </c>
      <c r="AI20" s="471">
        <f t="shared" si="8"/>
        <v>4057560</v>
      </c>
      <c r="AJ20" s="471">
        <f t="shared" si="8"/>
        <v>4057560</v>
      </c>
      <c r="AK20" s="470">
        <f t="shared" si="8"/>
        <v>4057560</v>
      </c>
    </row>
    <row r="21" spans="1:40" ht="13.5" thickBot="1">
      <c r="A21" s="452"/>
      <c r="B21" s="469" t="s">
        <v>537</v>
      </c>
      <c r="C21" s="468" t="s">
        <v>276</v>
      </c>
      <c r="D21" s="467"/>
      <c r="E21" s="547"/>
      <c r="F21" s="546"/>
      <c r="G21" s="914"/>
      <c r="H21" s="464"/>
      <c r="I21" s="463"/>
      <c r="J21" s="463"/>
      <c r="K21" s="463"/>
      <c r="L21" s="463"/>
      <c r="M21" s="463"/>
      <c r="N21" s="463"/>
      <c r="O21" s="463"/>
      <c r="P21" s="463"/>
      <c r="Q21" s="463"/>
      <c r="R21" s="463"/>
      <c r="S21" s="463"/>
      <c r="T21" s="463"/>
      <c r="U21" s="463"/>
      <c r="V21" s="463"/>
      <c r="W21" s="463"/>
      <c r="X21" s="463"/>
      <c r="Y21" s="463"/>
      <c r="Z21" s="463"/>
      <c r="AA21" s="463"/>
      <c r="AB21" s="463"/>
      <c r="AC21" s="463"/>
      <c r="AD21" s="463"/>
      <c r="AE21" s="463"/>
      <c r="AF21" s="463"/>
      <c r="AG21" s="463"/>
      <c r="AH21" s="463"/>
      <c r="AI21" s="463"/>
      <c r="AJ21" s="463"/>
      <c r="AK21" s="462"/>
    </row>
    <row r="22" spans="1:40" ht="13.5" thickTop="1">
      <c r="A22" s="452"/>
      <c r="B22" s="461" t="s">
        <v>518</v>
      </c>
      <c r="C22" s="460" t="s">
        <v>276</v>
      </c>
      <c r="D22" s="459">
        <v>0.18</v>
      </c>
      <c r="E22" s="458">
        <f>900*340</f>
        <v>306000</v>
      </c>
      <c r="F22" s="457">
        <f>D22*E22</f>
        <v>55080</v>
      </c>
      <c r="G22" s="914"/>
      <c r="H22" s="455">
        <f>$F$22*H11</f>
        <v>936360</v>
      </c>
      <c r="I22" s="454">
        <f t="shared" ref="I22:AK22" si="9">$F$22*I11</f>
        <v>936360</v>
      </c>
      <c r="J22" s="454">
        <f t="shared" si="9"/>
        <v>936360</v>
      </c>
      <c r="K22" s="454">
        <f t="shared" si="9"/>
        <v>936360</v>
      </c>
      <c r="L22" s="454">
        <f t="shared" si="9"/>
        <v>936360</v>
      </c>
      <c r="M22" s="454">
        <f t="shared" si="9"/>
        <v>936360</v>
      </c>
      <c r="N22" s="454">
        <f t="shared" si="9"/>
        <v>936360</v>
      </c>
      <c r="O22" s="454">
        <f t="shared" si="9"/>
        <v>936360</v>
      </c>
      <c r="P22" s="454">
        <f t="shared" si="9"/>
        <v>936360</v>
      </c>
      <c r="Q22" s="454">
        <f t="shared" si="9"/>
        <v>936360</v>
      </c>
      <c r="R22" s="454">
        <f t="shared" si="9"/>
        <v>936360</v>
      </c>
      <c r="S22" s="454">
        <f t="shared" si="9"/>
        <v>936360</v>
      </c>
      <c r="T22" s="454">
        <f t="shared" si="9"/>
        <v>936360</v>
      </c>
      <c r="U22" s="454">
        <f t="shared" si="9"/>
        <v>936360</v>
      </c>
      <c r="V22" s="454">
        <f t="shared" si="9"/>
        <v>936360</v>
      </c>
      <c r="W22" s="454">
        <f t="shared" si="9"/>
        <v>936360</v>
      </c>
      <c r="X22" s="454">
        <f t="shared" si="9"/>
        <v>936360</v>
      </c>
      <c r="Y22" s="454">
        <f t="shared" si="9"/>
        <v>936360</v>
      </c>
      <c r="Z22" s="454">
        <f t="shared" si="9"/>
        <v>936360</v>
      </c>
      <c r="AA22" s="454">
        <f t="shared" si="9"/>
        <v>936360</v>
      </c>
      <c r="AB22" s="454">
        <f t="shared" si="9"/>
        <v>936360</v>
      </c>
      <c r="AC22" s="454">
        <f t="shared" si="9"/>
        <v>936360</v>
      </c>
      <c r="AD22" s="454">
        <f t="shared" si="9"/>
        <v>936360</v>
      </c>
      <c r="AE22" s="454">
        <f t="shared" si="9"/>
        <v>936360</v>
      </c>
      <c r="AF22" s="454">
        <f t="shared" si="9"/>
        <v>936360</v>
      </c>
      <c r="AG22" s="454">
        <f t="shared" si="9"/>
        <v>936360</v>
      </c>
      <c r="AH22" s="454">
        <f t="shared" si="9"/>
        <v>936360</v>
      </c>
      <c r="AI22" s="454">
        <f t="shared" si="9"/>
        <v>936360</v>
      </c>
      <c r="AJ22" s="454">
        <f t="shared" si="9"/>
        <v>936360</v>
      </c>
      <c r="AK22" s="453">
        <f t="shared" si="9"/>
        <v>936360</v>
      </c>
    </row>
    <row r="23" spans="1:40" ht="13.5" thickBot="1">
      <c r="A23" s="452"/>
      <c r="B23" s="516" t="s">
        <v>517</v>
      </c>
      <c r="C23" s="515" t="s">
        <v>276</v>
      </c>
      <c r="D23" s="545"/>
      <c r="E23" s="544"/>
      <c r="F23" s="543"/>
      <c r="G23" s="915"/>
      <c r="H23" s="446"/>
      <c r="I23" s="445"/>
      <c r="J23" s="445"/>
      <c r="K23" s="445"/>
      <c r="L23" s="445"/>
      <c r="M23" s="445"/>
      <c r="N23" s="445"/>
      <c r="O23" s="445"/>
      <c r="P23" s="445"/>
      <c r="Q23" s="445"/>
      <c r="R23" s="445"/>
      <c r="S23" s="445"/>
      <c r="T23" s="445"/>
      <c r="U23" s="445"/>
      <c r="V23" s="445"/>
      <c r="W23" s="445"/>
      <c r="X23" s="445"/>
      <c r="Y23" s="445"/>
      <c r="Z23" s="445"/>
      <c r="AA23" s="445"/>
      <c r="AB23" s="445"/>
      <c r="AC23" s="445"/>
      <c r="AD23" s="445"/>
      <c r="AE23" s="445"/>
      <c r="AF23" s="445"/>
      <c r="AG23" s="445"/>
      <c r="AH23" s="445"/>
      <c r="AI23" s="445"/>
      <c r="AJ23" s="445"/>
      <c r="AK23" s="444"/>
    </row>
    <row r="24" spans="1:40">
      <c r="A24" s="452"/>
      <c r="B24" s="452"/>
      <c r="C24" s="452"/>
      <c r="D24" s="452"/>
      <c r="E24" s="452"/>
      <c r="F24" s="452"/>
      <c r="G24" s="452"/>
      <c r="H24" s="508"/>
      <c r="I24" s="452"/>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row>
    <row r="25" spans="1:40" ht="13.5" thickBot="1">
      <c r="A25" s="452"/>
      <c r="B25" s="542"/>
      <c r="C25" s="542"/>
      <c r="D25" s="542"/>
      <c r="E25" s="542"/>
      <c r="F25" s="542"/>
      <c r="G25" s="542"/>
      <c r="H25" s="542"/>
      <c r="I25" s="542"/>
      <c r="J25" s="542"/>
      <c r="K25" s="542"/>
      <c r="L25" s="542"/>
      <c r="M25" s="542"/>
      <c r="N25" s="542"/>
      <c r="O25" s="542"/>
      <c r="P25" s="542"/>
      <c r="Q25" s="542"/>
      <c r="R25" s="542"/>
      <c r="S25" s="542"/>
      <c r="T25" s="542"/>
      <c r="U25" s="542"/>
      <c r="V25" s="542"/>
      <c r="W25" s="542"/>
      <c r="X25" s="542"/>
      <c r="Y25" s="542"/>
      <c r="Z25" s="542"/>
      <c r="AA25" s="542"/>
      <c r="AB25" s="542"/>
      <c r="AC25" s="542"/>
      <c r="AD25" s="542"/>
      <c r="AE25" s="542"/>
      <c r="AF25" s="542"/>
      <c r="AG25" s="542"/>
      <c r="AH25" s="542"/>
      <c r="AI25" s="542"/>
      <c r="AJ25" s="542"/>
      <c r="AK25" s="542"/>
    </row>
    <row r="26" spans="1:40">
      <c r="A26" s="452"/>
      <c r="B26" s="892" t="s">
        <v>536</v>
      </c>
      <c r="C26" s="507" t="s">
        <v>535</v>
      </c>
      <c r="D26" s="894" t="s">
        <v>531</v>
      </c>
      <c r="E26" s="894" t="s">
        <v>530</v>
      </c>
      <c r="F26" s="897" t="s">
        <v>529</v>
      </c>
      <c r="G26" s="506" t="s">
        <v>528</v>
      </c>
      <c r="H26" s="505">
        <v>2023</v>
      </c>
      <c r="I26" s="504">
        <f>H26+1</f>
        <v>2024</v>
      </c>
      <c r="J26" s="504">
        <f>I26+1</f>
        <v>2025</v>
      </c>
      <c r="K26" s="504">
        <f t="shared" ref="K26:AI26" si="10">J26+1</f>
        <v>2026</v>
      </c>
      <c r="L26" s="504">
        <f t="shared" si="10"/>
        <v>2027</v>
      </c>
      <c r="M26" s="504">
        <f t="shared" si="10"/>
        <v>2028</v>
      </c>
      <c r="N26" s="504">
        <f t="shared" si="10"/>
        <v>2029</v>
      </c>
      <c r="O26" s="504">
        <f t="shared" si="10"/>
        <v>2030</v>
      </c>
      <c r="P26" s="504">
        <f t="shared" si="10"/>
        <v>2031</v>
      </c>
      <c r="Q26" s="504">
        <f t="shared" si="10"/>
        <v>2032</v>
      </c>
      <c r="R26" s="504">
        <f t="shared" si="10"/>
        <v>2033</v>
      </c>
      <c r="S26" s="504">
        <f t="shared" si="10"/>
        <v>2034</v>
      </c>
      <c r="T26" s="504">
        <f t="shared" si="10"/>
        <v>2035</v>
      </c>
      <c r="U26" s="504">
        <f t="shared" si="10"/>
        <v>2036</v>
      </c>
      <c r="V26" s="504">
        <f t="shared" si="10"/>
        <v>2037</v>
      </c>
      <c r="W26" s="504">
        <f t="shared" si="10"/>
        <v>2038</v>
      </c>
      <c r="X26" s="504">
        <f t="shared" si="10"/>
        <v>2039</v>
      </c>
      <c r="Y26" s="504">
        <f t="shared" si="10"/>
        <v>2040</v>
      </c>
      <c r="Z26" s="504">
        <f t="shared" si="10"/>
        <v>2041</v>
      </c>
      <c r="AA26" s="504">
        <f t="shared" si="10"/>
        <v>2042</v>
      </c>
      <c r="AB26" s="504">
        <f t="shared" si="10"/>
        <v>2043</v>
      </c>
      <c r="AC26" s="504">
        <f t="shared" si="10"/>
        <v>2044</v>
      </c>
      <c r="AD26" s="504">
        <f t="shared" si="10"/>
        <v>2045</v>
      </c>
      <c r="AE26" s="504">
        <f t="shared" si="10"/>
        <v>2046</v>
      </c>
      <c r="AF26" s="504">
        <f t="shared" si="10"/>
        <v>2047</v>
      </c>
      <c r="AG26" s="504">
        <f t="shared" si="10"/>
        <v>2048</v>
      </c>
      <c r="AH26" s="504">
        <f t="shared" si="10"/>
        <v>2049</v>
      </c>
      <c r="AI26" s="504">
        <f t="shared" si="10"/>
        <v>2050</v>
      </c>
      <c r="AJ26" s="504">
        <f>AI26+1</f>
        <v>2051</v>
      </c>
      <c r="AK26" s="504">
        <f>AJ26+1</f>
        <v>2052</v>
      </c>
    </row>
    <row r="27" spans="1:40">
      <c r="A27" s="452"/>
      <c r="B27" s="893"/>
      <c r="C27" s="503" t="s">
        <v>534</v>
      </c>
      <c r="D27" s="895"/>
      <c r="E27" s="895"/>
      <c r="F27" s="898"/>
      <c r="G27" s="502" t="s">
        <v>526</v>
      </c>
      <c r="H27" s="541">
        <v>10</v>
      </c>
      <c r="I27" s="501">
        <v>10</v>
      </c>
      <c r="J27" s="501">
        <v>10</v>
      </c>
      <c r="K27" s="501">
        <v>10</v>
      </c>
      <c r="L27" s="501">
        <v>10</v>
      </c>
      <c r="M27" s="501">
        <v>10</v>
      </c>
      <c r="N27" s="501">
        <v>10</v>
      </c>
      <c r="O27" s="501">
        <v>10</v>
      </c>
      <c r="P27" s="501">
        <v>10</v>
      </c>
      <c r="Q27" s="501">
        <v>10</v>
      </c>
      <c r="R27" s="501">
        <v>10</v>
      </c>
      <c r="S27" s="501">
        <v>10</v>
      </c>
      <c r="T27" s="501">
        <v>10</v>
      </c>
      <c r="U27" s="501">
        <v>10</v>
      </c>
      <c r="V27" s="501">
        <v>10</v>
      </c>
      <c r="W27" s="501">
        <v>10</v>
      </c>
      <c r="X27" s="501">
        <v>10</v>
      </c>
      <c r="Y27" s="501">
        <v>10</v>
      </c>
      <c r="Z27" s="501">
        <v>10</v>
      </c>
      <c r="AA27" s="501">
        <v>10</v>
      </c>
      <c r="AB27" s="501">
        <v>10</v>
      </c>
      <c r="AC27" s="501">
        <v>10</v>
      </c>
      <c r="AD27" s="501">
        <v>10</v>
      </c>
      <c r="AE27" s="501">
        <v>10</v>
      </c>
      <c r="AF27" s="501">
        <v>10</v>
      </c>
      <c r="AG27" s="501">
        <v>10</v>
      </c>
      <c r="AH27" s="501">
        <v>10</v>
      </c>
      <c r="AI27" s="501">
        <v>10</v>
      </c>
      <c r="AJ27" s="501">
        <v>10</v>
      </c>
      <c r="AK27" s="501">
        <v>10</v>
      </c>
    </row>
    <row r="28" spans="1:40" ht="13.5" thickBot="1">
      <c r="A28" s="485"/>
      <c r="B28" s="500" t="s">
        <v>525</v>
      </c>
      <c r="C28" s="499">
        <f>350*1000</f>
        <v>350000</v>
      </c>
      <c r="D28" s="896"/>
      <c r="E28" s="896"/>
      <c r="F28" s="899"/>
      <c r="G28" s="498" t="s">
        <v>524</v>
      </c>
      <c r="H28" s="540">
        <v>10</v>
      </c>
      <c r="I28" s="497">
        <v>10</v>
      </c>
      <c r="J28" s="497">
        <v>10</v>
      </c>
      <c r="K28" s="497">
        <v>10</v>
      </c>
      <c r="L28" s="497">
        <v>10</v>
      </c>
      <c r="M28" s="497">
        <v>10</v>
      </c>
      <c r="N28" s="497">
        <v>10</v>
      </c>
      <c r="O28" s="497">
        <v>10</v>
      </c>
      <c r="P28" s="497">
        <v>10</v>
      </c>
      <c r="Q28" s="497">
        <v>10</v>
      </c>
      <c r="R28" s="497">
        <v>10</v>
      </c>
      <c r="S28" s="497">
        <v>10</v>
      </c>
      <c r="T28" s="497">
        <v>10</v>
      </c>
      <c r="U28" s="497">
        <v>10</v>
      </c>
      <c r="V28" s="497">
        <v>10</v>
      </c>
      <c r="W28" s="497">
        <v>10</v>
      </c>
      <c r="X28" s="497">
        <v>10</v>
      </c>
      <c r="Y28" s="497">
        <v>10</v>
      </c>
      <c r="Z28" s="497">
        <v>10</v>
      </c>
      <c r="AA28" s="497">
        <v>10</v>
      </c>
      <c r="AB28" s="497">
        <v>10</v>
      </c>
      <c r="AC28" s="497">
        <v>10</v>
      </c>
      <c r="AD28" s="497">
        <v>10</v>
      </c>
      <c r="AE28" s="497">
        <v>10</v>
      </c>
      <c r="AF28" s="497">
        <v>10</v>
      </c>
      <c r="AG28" s="497">
        <v>10</v>
      </c>
      <c r="AH28" s="497">
        <v>10</v>
      </c>
      <c r="AI28" s="497">
        <v>10</v>
      </c>
      <c r="AJ28" s="497">
        <v>10</v>
      </c>
      <c r="AK28" s="497">
        <v>10</v>
      </c>
    </row>
    <row r="29" spans="1:40">
      <c r="A29" s="452"/>
      <c r="B29" s="496" t="s">
        <v>523</v>
      </c>
      <c r="C29" s="495" t="s">
        <v>276</v>
      </c>
      <c r="D29" s="539"/>
      <c r="E29" s="539"/>
      <c r="F29" s="538"/>
      <c r="G29" s="902"/>
      <c r="H29" s="537"/>
      <c r="I29" s="536"/>
      <c r="J29" s="536"/>
      <c r="K29" s="536"/>
      <c r="L29" s="536"/>
      <c r="M29" s="536"/>
      <c r="N29" s="536"/>
      <c r="O29" s="536"/>
      <c r="P29" s="536"/>
      <c r="Q29" s="536"/>
      <c r="R29" s="536"/>
      <c r="S29" s="536"/>
      <c r="T29" s="536"/>
      <c r="U29" s="536"/>
      <c r="V29" s="536"/>
      <c r="W29" s="536"/>
      <c r="X29" s="536"/>
      <c r="Y29" s="536"/>
      <c r="Z29" s="536"/>
      <c r="AA29" s="536"/>
      <c r="AB29" s="536"/>
      <c r="AC29" s="536"/>
      <c r="AD29" s="536"/>
      <c r="AE29" s="536"/>
      <c r="AF29" s="536"/>
      <c r="AG29" s="536"/>
      <c r="AH29" s="536"/>
      <c r="AI29" s="536"/>
      <c r="AJ29" s="536"/>
      <c r="AK29" s="535"/>
    </row>
    <row r="30" spans="1:40">
      <c r="A30" s="452"/>
      <c r="B30" s="477" t="s">
        <v>522</v>
      </c>
      <c r="C30" s="476" t="s">
        <v>276</v>
      </c>
      <c r="D30" s="534"/>
      <c r="E30" s="534"/>
      <c r="F30" s="533"/>
      <c r="G30" s="902"/>
      <c r="H30" s="532"/>
      <c r="I30" s="531"/>
      <c r="J30" s="531"/>
      <c r="K30" s="531"/>
      <c r="L30" s="531"/>
      <c r="M30" s="531"/>
      <c r="N30" s="531"/>
      <c r="O30" s="531"/>
      <c r="P30" s="531"/>
      <c r="Q30" s="531"/>
      <c r="R30" s="531"/>
      <c r="S30" s="531"/>
      <c r="T30" s="531"/>
      <c r="U30" s="531"/>
      <c r="V30" s="531"/>
      <c r="W30" s="531"/>
      <c r="X30" s="531"/>
      <c r="Y30" s="531"/>
      <c r="Z30" s="531"/>
      <c r="AA30" s="531"/>
      <c r="AB30" s="531"/>
      <c r="AC30" s="531"/>
      <c r="AD30" s="531"/>
      <c r="AE30" s="531"/>
      <c r="AF30" s="531"/>
      <c r="AG30" s="531"/>
      <c r="AH30" s="531"/>
      <c r="AI30" s="531"/>
      <c r="AJ30" s="531"/>
      <c r="AK30" s="530"/>
      <c r="AL30" s="429"/>
      <c r="AM30" s="429"/>
      <c r="AN30" s="429"/>
    </row>
    <row r="31" spans="1:40" s="429" customFormat="1">
      <c r="A31" s="452"/>
      <c r="B31" s="477" t="s">
        <v>521</v>
      </c>
      <c r="C31" s="476" t="s">
        <v>276</v>
      </c>
      <c r="D31" s="475">
        <v>0.04</v>
      </c>
      <c r="E31" s="474">
        <v>350000</v>
      </c>
      <c r="F31" s="473">
        <f>D31*E31</f>
        <v>14000</v>
      </c>
      <c r="G31" s="902"/>
      <c r="H31" s="472">
        <f>$F$31*H27</f>
        <v>140000</v>
      </c>
      <c r="I31" s="471">
        <f t="shared" ref="I31:AK31" si="11">$F$31*I27</f>
        <v>140000</v>
      </c>
      <c r="J31" s="471">
        <f t="shared" si="11"/>
        <v>140000</v>
      </c>
      <c r="K31" s="471">
        <f t="shared" si="11"/>
        <v>140000</v>
      </c>
      <c r="L31" s="471">
        <f t="shared" si="11"/>
        <v>140000</v>
      </c>
      <c r="M31" s="471">
        <f t="shared" si="11"/>
        <v>140000</v>
      </c>
      <c r="N31" s="471">
        <f t="shared" si="11"/>
        <v>140000</v>
      </c>
      <c r="O31" s="471">
        <f t="shared" si="11"/>
        <v>140000</v>
      </c>
      <c r="P31" s="471">
        <f t="shared" si="11"/>
        <v>140000</v>
      </c>
      <c r="Q31" s="471">
        <f t="shared" si="11"/>
        <v>140000</v>
      </c>
      <c r="R31" s="471">
        <f t="shared" si="11"/>
        <v>140000</v>
      </c>
      <c r="S31" s="471">
        <f t="shared" si="11"/>
        <v>140000</v>
      </c>
      <c r="T31" s="471">
        <f t="shared" si="11"/>
        <v>140000</v>
      </c>
      <c r="U31" s="471">
        <f t="shared" si="11"/>
        <v>140000</v>
      </c>
      <c r="V31" s="471">
        <f t="shared" si="11"/>
        <v>140000</v>
      </c>
      <c r="W31" s="471">
        <f t="shared" si="11"/>
        <v>140000</v>
      </c>
      <c r="X31" s="471">
        <f t="shared" si="11"/>
        <v>140000</v>
      </c>
      <c r="Y31" s="471">
        <f t="shared" si="11"/>
        <v>140000</v>
      </c>
      <c r="Z31" s="471">
        <f t="shared" si="11"/>
        <v>140000</v>
      </c>
      <c r="AA31" s="471">
        <f t="shared" si="11"/>
        <v>140000</v>
      </c>
      <c r="AB31" s="471">
        <f t="shared" si="11"/>
        <v>140000</v>
      </c>
      <c r="AC31" s="471">
        <f t="shared" si="11"/>
        <v>140000</v>
      </c>
      <c r="AD31" s="471">
        <f t="shared" si="11"/>
        <v>140000</v>
      </c>
      <c r="AE31" s="471">
        <f t="shared" si="11"/>
        <v>140000</v>
      </c>
      <c r="AF31" s="471">
        <f t="shared" si="11"/>
        <v>140000</v>
      </c>
      <c r="AG31" s="471">
        <f t="shared" si="11"/>
        <v>140000</v>
      </c>
      <c r="AH31" s="471">
        <f t="shared" si="11"/>
        <v>140000</v>
      </c>
      <c r="AI31" s="471">
        <f t="shared" si="11"/>
        <v>140000</v>
      </c>
      <c r="AJ31" s="471">
        <f t="shared" si="11"/>
        <v>140000</v>
      </c>
      <c r="AK31" s="470">
        <f t="shared" si="11"/>
        <v>140000</v>
      </c>
      <c r="AL31" s="428"/>
      <c r="AM31" s="428"/>
      <c r="AN31" s="428"/>
    </row>
    <row r="32" spans="1:40">
      <c r="A32" s="452"/>
      <c r="B32" s="477" t="s">
        <v>284</v>
      </c>
      <c r="C32" s="476" t="s">
        <v>276</v>
      </c>
      <c r="D32" s="484"/>
      <c r="E32" s="529"/>
      <c r="F32" s="528"/>
      <c r="G32" s="902"/>
      <c r="H32" s="532"/>
      <c r="I32" s="531"/>
      <c r="J32" s="531"/>
      <c r="K32" s="531"/>
      <c r="L32" s="531"/>
      <c r="M32" s="531"/>
      <c r="N32" s="531"/>
      <c r="O32" s="531"/>
      <c r="P32" s="531"/>
      <c r="Q32" s="531"/>
      <c r="R32" s="531"/>
      <c r="S32" s="531"/>
      <c r="T32" s="531"/>
      <c r="U32" s="531"/>
      <c r="V32" s="531"/>
      <c r="W32" s="531"/>
      <c r="X32" s="531"/>
      <c r="Y32" s="531"/>
      <c r="Z32" s="531"/>
      <c r="AA32" s="531"/>
      <c r="AB32" s="531"/>
      <c r="AC32" s="531"/>
      <c r="AD32" s="531"/>
      <c r="AE32" s="531"/>
      <c r="AF32" s="531"/>
      <c r="AG32" s="531"/>
      <c r="AH32" s="531"/>
      <c r="AI32" s="531"/>
      <c r="AJ32" s="531"/>
      <c r="AK32" s="530"/>
    </row>
    <row r="33" spans="1:38">
      <c r="A33" s="452"/>
      <c r="B33" s="477" t="s">
        <v>287</v>
      </c>
      <c r="C33" s="476" t="s">
        <v>276</v>
      </c>
      <c r="D33" s="475">
        <v>4.6900000000000004</v>
      </c>
      <c r="E33" s="474">
        <v>350000</v>
      </c>
      <c r="F33" s="473">
        <f>D33*E33</f>
        <v>1641500.0000000002</v>
      </c>
      <c r="G33" s="902"/>
      <c r="H33" s="472">
        <f>$F$33*H27</f>
        <v>16415000.000000002</v>
      </c>
      <c r="I33" s="471">
        <f t="shared" ref="I33:AK33" si="12">$F$33*I27</f>
        <v>16415000.000000002</v>
      </c>
      <c r="J33" s="471">
        <f t="shared" si="12"/>
        <v>16415000.000000002</v>
      </c>
      <c r="K33" s="471">
        <f t="shared" si="12"/>
        <v>16415000.000000002</v>
      </c>
      <c r="L33" s="471">
        <f t="shared" si="12"/>
        <v>16415000.000000002</v>
      </c>
      <c r="M33" s="471">
        <f t="shared" si="12"/>
        <v>16415000.000000002</v>
      </c>
      <c r="N33" s="471">
        <f t="shared" si="12"/>
        <v>16415000.000000002</v>
      </c>
      <c r="O33" s="471">
        <f t="shared" si="12"/>
        <v>16415000.000000002</v>
      </c>
      <c r="P33" s="471">
        <f t="shared" si="12"/>
        <v>16415000.000000002</v>
      </c>
      <c r="Q33" s="471">
        <f t="shared" si="12"/>
        <v>16415000.000000002</v>
      </c>
      <c r="R33" s="471">
        <f t="shared" si="12"/>
        <v>16415000.000000002</v>
      </c>
      <c r="S33" s="471">
        <f t="shared" si="12"/>
        <v>16415000.000000002</v>
      </c>
      <c r="T33" s="471">
        <f t="shared" si="12"/>
        <v>16415000.000000002</v>
      </c>
      <c r="U33" s="471">
        <f t="shared" si="12"/>
        <v>16415000.000000002</v>
      </c>
      <c r="V33" s="471">
        <f t="shared" si="12"/>
        <v>16415000.000000002</v>
      </c>
      <c r="W33" s="471">
        <f t="shared" si="12"/>
        <v>16415000.000000002</v>
      </c>
      <c r="X33" s="471">
        <f t="shared" si="12"/>
        <v>16415000.000000002</v>
      </c>
      <c r="Y33" s="471">
        <f t="shared" si="12"/>
        <v>16415000.000000002</v>
      </c>
      <c r="Z33" s="471">
        <f t="shared" si="12"/>
        <v>16415000.000000002</v>
      </c>
      <c r="AA33" s="471">
        <f t="shared" si="12"/>
        <v>16415000.000000002</v>
      </c>
      <c r="AB33" s="471">
        <f t="shared" si="12"/>
        <v>16415000.000000002</v>
      </c>
      <c r="AC33" s="471">
        <f t="shared" si="12"/>
        <v>16415000.000000002</v>
      </c>
      <c r="AD33" s="471">
        <f t="shared" si="12"/>
        <v>16415000.000000002</v>
      </c>
      <c r="AE33" s="471">
        <f t="shared" si="12"/>
        <v>16415000.000000002</v>
      </c>
      <c r="AF33" s="471">
        <f t="shared" si="12"/>
        <v>16415000.000000002</v>
      </c>
      <c r="AG33" s="471">
        <f t="shared" si="12"/>
        <v>16415000.000000002</v>
      </c>
      <c r="AH33" s="471">
        <f t="shared" si="12"/>
        <v>16415000.000000002</v>
      </c>
      <c r="AI33" s="471">
        <f t="shared" si="12"/>
        <v>16415000.000000002</v>
      </c>
      <c r="AJ33" s="471">
        <f t="shared" si="12"/>
        <v>16415000.000000002</v>
      </c>
      <c r="AK33" s="470">
        <f t="shared" si="12"/>
        <v>16415000.000000002</v>
      </c>
    </row>
    <row r="34" spans="1:38">
      <c r="A34" s="452"/>
      <c r="B34" s="477" t="s">
        <v>520</v>
      </c>
      <c r="C34" s="476" t="s">
        <v>276</v>
      </c>
      <c r="D34" s="484"/>
      <c r="E34" s="529"/>
      <c r="F34" s="528"/>
      <c r="G34" s="902"/>
      <c r="H34" s="481"/>
      <c r="I34" s="480"/>
      <c r="J34" s="480"/>
      <c r="K34" s="480"/>
      <c r="L34" s="480"/>
      <c r="M34" s="480"/>
      <c r="N34" s="480"/>
      <c r="O34" s="480"/>
      <c r="P34" s="480"/>
      <c r="Q34" s="480"/>
      <c r="R34" s="480"/>
      <c r="S34" s="480"/>
      <c r="T34" s="480"/>
      <c r="U34" s="480"/>
      <c r="V34" s="480"/>
      <c r="W34" s="480"/>
      <c r="X34" s="480"/>
      <c r="Y34" s="480"/>
      <c r="Z34" s="480"/>
      <c r="AA34" s="480"/>
      <c r="AB34" s="480"/>
      <c r="AC34" s="480"/>
      <c r="AD34" s="480"/>
      <c r="AE34" s="480"/>
      <c r="AF34" s="480"/>
      <c r="AG34" s="480"/>
      <c r="AH34" s="480"/>
      <c r="AI34" s="480"/>
      <c r="AJ34" s="480"/>
      <c r="AK34" s="479"/>
    </row>
    <row r="35" spans="1:38">
      <c r="A35" s="452"/>
      <c r="B35" s="477" t="s">
        <v>330</v>
      </c>
      <c r="C35" s="476" t="s">
        <v>276</v>
      </c>
      <c r="D35" s="475">
        <v>0.11</v>
      </c>
      <c r="E35" s="474">
        <v>350000</v>
      </c>
      <c r="F35" s="473">
        <f t="shared" ref="F35:F36" si="13">D35*E35</f>
        <v>38500</v>
      </c>
      <c r="G35" s="902"/>
      <c r="H35" s="472">
        <f>$F$35*H27</f>
        <v>385000</v>
      </c>
      <c r="I35" s="471">
        <f t="shared" ref="I35:AK35" si="14">$F$35*I27</f>
        <v>385000</v>
      </c>
      <c r="J35" s="471">
        <f t="shared" si="14"/>
        <v>385000</v>
      </c>
      <c r="K35" s="471">
        <f t="shared" si="14"/>
        <v>385000</v>
      </c>
      <c r="L35" s="471">
        <f t="shared" si="14"/>
        <v>385000</v>
      </c>
      <c r="M35" s="471">
        <f t="shared" si="14"/>
        <v>385000</v>
      </c>
      <c r="N35" s="471">
        <f t="shared" si="14"/>
        <v>385000</v>
      </c>
      <c r="O35" s="471">
        <f t="shared" si="14"/>
        <v>385000</v>
      </c>
      <c r="P35" s="471">
        <f t="shared" si="14"/>
        <v>385000</v>
      </c>
      <c r="Q35" s="471">
        <f t="shared" si="14"/>
        <v>385000</v>
      </c>
      <c r="R35" s="471">
        <f t="shared" si="14"/>
        <v>385000</v>
      </c>
      <c r="S35" s="471">
        <f t="shared" si="14"/>
        <v>385000</v>
      </c>
      <c r="T35" s="471">
        <f t="shared" si="14"/>
        <v>385000</v>
      </c>
      <c r="U35" s="471">
        <f t="shared" si="14"/>
        <v>385000</v>
      </c>
      <c r="V35" s="471">
        <f t="shared" si="14"/>
        <v>385000</v>
      </c>
      <c r="W35" s="471">
        <f t="shared" si="14"/>
        <v>385000</v>
      </c>
      <c r="X35" s="471">
        <f t="shared" si="14"/>
        <v>385000</v>
      </c>
      <c r="Y35" s="471">
        <f t="shared" si="14"/>
        <v>385000</v>
      </c>
      <c r="Z35" s="471">
        <f t="shared" si="14"/>
        <v>385000</v>
      </c>
      <c r="AA35" s="471">
        <f t="shared" si="14"/>
        <v>385000</v>
      </c>
      <c r="AB35" s="471">
        <f t="shared" si="14"/>
        <v>385000</v>
      </c>
      <c r="AC35" s="471">
        <f t="shared" si="14"/>
        <v>385000</v>
      </c>
      <c r="AD35" s="471">
        <f t="shared" si="14"/>
        <v>385000</v>
      </c>
      <c r="AE35" s="471">
        <f t="shared" si="14"/>
        <v>385000</v>
      </c>
      <c r="AF35" s="471">
        <f t="shared" si="14"/>
        <v>385000</v>
      </c>
      <c r="AG35" s="471">
        <f t="shared" si="14"/>
        <v>385000</v>
      </c>
      <c r="AH35" s="471">
        <f t="shared" si="14"/>
        <v>385000</v>
      </c>
      <c r="AI35" s="471">
        <f t="shared" si="14"/>
        <v>385000</v>
      </c>
      <c r="AJ35" s="471">
        <f t="shared" si="14"/>
        <v>385000</v>
      </c>
      <c r="AK35" s="470">
        <f t="shared" si="14"/>
        <v>385000</v>
      </c>
    </row>
    <row r="36" spans="1:38">
      <c r="A36" s="452"/>
      <c r="B36" s="477" t="s">
        <v>331</v>
      </c>
      <c r="C36" s="476" t="s">
        <v>276</v>
      </c>
      <c r="D36" s="475">
        <v>0.78</v>
      </c>
      <c r="E36" s="474">
        <v>350000</v>
      </c>
      <c r="F36" s="473">
        <f t="shared" si="13"/>
        <v>273000</v>
      </c>
      <c r="G36" s="902"/>
      <c r="H36" s="472">
        <f>$F$36*H27</f>
        <v>2730000</v>
      </c>
      <c r="I36" s="471">
        <f t="shared" ref="I36:AK36" si="15">$F$36*I27</f>
        <v>2730000</v>
      </c>
      <c r="J36" s="471">
        <f t="shared" si="15"/>
        <v>2730000</v>
      </c>
      <c r="K36" s="471">
        <f t="shared" si="15"/>
        <v>2730000</v>
      </c>
      <c r="L36" s="471">
        <f t="shared" si="15"/>
        <v>2730000</v>
      </c>
      <c r="M36" s="471">
        <f t="shared" si="15"/>
        <v>2730000</v>
      </c>
      <c r="N36" s="471">
        <f t="shared" si="15"/>
        <v>2730000</v>
      </c>
      <c r="O36" s="471">
        <f t="shared" si="15"/>
        <v>2730000</v>
      </c>
      <c r="P36" s="471">
        <f t="shared" si="15"/>
        <v>2730000</v>
      </c>
      <c r="Q36" s="471">
        <f t="shared" si="15"/>
        <v>2730000</v>
      </c>
      <c r="R36" s="471">
        <f t="shared" si="15"/>
        <v>2730000</v>
      </c>
      <c r="S36" s="471">
        <f t="shared" si="15"/>
        <v>2730000</v>
      </c>
      <c r="T36" s="471">
        <f t="shared" si="15"/>
        <v>2730000</v>
      </c>
      <c r="U36" s="471">
        <f t="shared" si="15"/>
        <v>2730000</v>
      </c>
      <c r="V36" s="471">
        <f t="shared" si="15"/>
        <v>2730000</v>
      </c>
      <c r="W36" s="471">
        <f t="shared" si="15"/>
        <v>2730000</v>
      </c>
      <c r="X36" s="471">
        <f t="shared" si="15"/>
        <v>2730000</v>
      </c>
      <c r="Y36" s="471">
        <f t="shared" si="15"/>
        <v>2730000</v>
      </c>
      <c r="Z36" s="471">
        <f t="shared" si="15"/>
        <v>2730000</v>
      </c>
      <c r="AA36" s="471">
        <f t="shared" si="15"/>
        <v>2730000</v>
      </c>
      <c r="AB36" s="471">
        <f t="shared" si="15"/>
        <v>2730000</v>
      </c>
      <c r="AC36" s="471">
        <f t="shared" si="15"/>
        <v>2730000</v>
      </c>
      <c r="AD36" s="471">
        <f t="shared" si="15"/>
        <v>2730000</v>
      </c>
      <c r="AE36" s="471">
        <f t="shared" si="15"/>
        <v>2730000</v>
      </c>
      <c r="AF36" s="471">
        <f t="shared" si="15"/>
        <v>2730000</v>
      </c>
      <c r="AG36" s="471">
        <f t="shared" si="15"/>
        <v>2730000</v>
      </c>
      <c r="AH36" s="471">
        <f t="shared" si="15"/>
        <v>2730000</v>
      </c>
      <c r="AI36" s="471">
        <f t="shared" si="15"/>
        <v>2730000</v>
      </c>
      <c r="AJ36" s="471">
        <f t="shared" si="15"/>
        <v>2730000</v>
      </c>
      <c r="AK36" s="470">
        <f t="shared" si="15"/>
        <v>2730000</v>
      </c>
    </row>
    <row r="37" spans="1:38" ht="13.5" thickBot="1">
      <c r="A37" s="452"/>
      <c r="B37" s="469" t="s">
        <v>519</v>
      </c>
      <c r="C37" s="468" t="s">
        <v>276</v>
      </c>
      <c r="D37" s="527">
        <v>2</v>
      </c>
      <c r="E37" s="526">
        <v>350000</v>
      </c>
      <c r="F37" s="525">
        <f>D37*E37</f>
        <v>700000</v>
      </c>
      <c r="G37" s="902"/>
      <c r="H37" s="524">
        <f>$F$37*H27</f>
        <v>7000000</v>
      </c>
      <c r="I37" s="523">
        <f t="shared" ref="I37:AK37" si="16">$F$37*I27</f>
        <v>7000000</v>
      </c>
      <c r="J37" s="523">
        <f t="shared" si="16"/>
        <v>7000000</v>
      </c>
      <c r="K37" s="523">
        <f t="shared" si="16"/>
        <v>7000000</v>
      </c>
      <c r="L37" s="523">
        <f t="shared" si="16"/>
        <v>7000000</v>
      </c>
      <c r="M37" s="523">
        <f t="shared" si="16"/>
        <v>7000000</v>
      </c>
      <c r="N37" s="523">
        <f t="shared" si="16"/>
        <v>7000000</v>
      </c>
      <c r="O37" s="523">
        <f t="shared" si="16"/>
        <v>7000000</v>
      </c>
      <c r="P37" s="523">
        <f t="shared" si="16"/>
        <v>7000000</v>
      </c>
      <c r="Q37" s="523">
        <f t="shared" si="16"/>
        <v>7000000</v>
      </c>
      <c r="R37" s="523">
        <f t="shared" si="16"/>
        <v>7000000</v>
      </c>
      <c r="S37" s="523">
        <f t="shared" si="16"/>
        <v>7000000</v>
      </c>
      <c r="T37" s="523">
        <f t="shared" si="16"/>
        <v>7000000</v>
      </c>
      <c r="U37" s="523">
        <f t="shared" si="16"/>
        <v>7000000</v>
      </c>
      <c r="V37" s="523">
        <f t="shared" si="16"/>
        <v>7000000</v>
      </c>
      <c r="W37" s="523">
        <f t="shared" si="16"/>
        <v>7000000</v>
      </c>
      <c r="X37" s="523">
        <f t="shared" si="16"/>
        <v>7000000</v>
      </c>
      <c r="Y37" s="523">
        <f t="shared" si="16"/>
        <v>7000000</v>
      </c>
      <c r="Z37" s="523">
        <f t="shared" si="16"/>
        <v>7000000</v>
      </c>
      <c r="AA37" s="523">
        <f t="shared" si="16"/>
        <v>7000000</v>
      </c>
      <c r="AB37" s="523">
        <f t="shared" si="16"/>
        <v>7000000</v>
      </c>
      <c r="AC37" s="523">
        <f t="shared" si="16"/>
        <v>7000000</v>
      </c>
      <c r="AD37" s="523">
        <f t="shared" si="16"/>
        <v>7000000</v>
      </c>
      <c r="AE37" s="523">
        <f t="shared" si="16"/>
        <v>7000000</v>
      </c>
      <c r="AF37" s="523">
        <f t="shared" si="16"/>
        <v>7000000</v>
      </c>
      <c r="AG37" s="523">
        <f t="shared" si="16"/>
        <v>7000000</v>
      </c>
      <c r="AH37" s="523">
        <f t="shared" si="16"/>
        <v>7000000</v>
      </c>
      <c r="AI37" s="523">
        <f t="shared" si="16"/>
        <v>7000000</v>
      </c>
      <c r="AJ37" s="523">
        <f t="shared" si="16"/>
        <v>7000000</v>
      </c>
      <c r="AK37" s="522">
        <f t="shared" si="16"/>
        <v>7000000</v>
      </c>
    </row>
    <row r="38" spans="1:38" ht="13.5" thickTop="1">
      <c r="A38" s="452"/>
      <c r="B38" s="461" t="s">
        <v>518</v>
      </c>
      <c r="C38" s="460" t="s">
        <v>276</v>
      </c>
      <c r="D38" s="521"/>
      <c r="E38" s="521"/>
      <c r="F38" s="517"/>
      <c r="G38" s="902"/>
      <c r="H38" s="519"/>
      <c r="I38" s="518"/>
      <c r="J38" s="518"/>
      <c r="K38" s="518"/>
      <c r="L38" s="518"/>
      <c r="M38" s="518"/>
      <c r="N38" s="518"/>
      <c r="O38" s="518"/>
      <c r="P38" s="518"/>
      <c r="Q38" s="518"/>
      <c r="R38" s="518"/>
      <c r="S38" s="518"/>
      <c r="T38" s="518"/>
      <c r="U38" s="518"/>
      <c r="V38" s="518"/>
      <c r="W38" s="518"/>
      <c r="X38" s="518"/>
      <c r="Y38" s="518"/>
      <c r="Z38" s="518"/>
      <c r="AA38" s="518"/>
      <c r="AB38" s="518"/>
      <c r="AC38" s="518"/>
      <c r="AD38" s="518"/>
      <c r="AE38" s="518"/>
      <c r="AF38" s="518"/>
      <c r="AG38" s="518"/>
      <c r="AH38" s="518"/>
      <c r="AI38" s="518"/>
      <c r="AJ38" s="518"/>
      <c r="AK38" s="517"/>
    </row>
    <row r="39" spans="1:38" ht="13.5" thickBot="1">
      <c r="A39" s="452"/>
      <c r="B39" s="516" t="s">
        <v>517</v>
      </c>
      <c r="C39" s="515" t="s">
        <v>276</v>
      </c>
      <c r="D39" s="514">
        <v>40000</v>
      </c>
      <c r="E39" s="513">
        <v>1</v>
      </c>
      <c r="F39" s="512">
        <f>D39*E39</f>
        <v>40000</v>
      </c>
      <c r="G39" s="903"/>
      <c r="H39" s="511">
        <f>$F$39*H27</f>
        <v>400000</v>
      </c>
      <c r="I39" s="510">
        <f t="shared" ref="I39:AK39" si="17">$F$39*I27</f>
        <v>400000</v>
      </c>
      <c r="J39" s="510">
        <f t="shared" si="17"/>
        <v>400000</v>
      </c>
      <c r="K39" s="510">
        <f t="shared" si="17"/>
        <v>400000</v>
      </c>
      <c r="L39" s="510">
        <f t="shared" si="17"/>
        <v>400000</v>
      </c>
      <c r="M39" s="510">
        <f t="shared" si="17"/>
        <v>400000</v>
      </c>
      <c r="N39" s="510">
        <f t="shared" si="17"/>
        <v>400000</v>
      </c>
      <c r="O39" s="510">
        <f t="shared" si="17"/>
        <v>400000</v>
      </c>
      <c r="P39" s="510">
        <f t="shared" si="17"/>
        <v>400000</v>
      </c>
      <c r="Q39" s="510">
        <f t="shared" si="17"/>
        <v>400000</v>
      </c>
      <c r="R39" s="510">
        <f t="shared" si="17"/>
        <v>400000</v>
      </c>
      <c r="S39" s="510">
        <f t="shared" si="17"/>
        <v>400000</v>
      </c>
      <c r="T39" s="510">
        <f t="shared" si="17"/>
        <v>400000</v>
      </c>
      <c r="U39" s="510">
        <f t="shared" si="17"/>
        <v>400000</v>
      </c>
      <c r="V39" s="510">
        <f t="shared" si="17"/>
        <v>400000</v>
      </c>
      <c r="W39" s="510">
        <f t="shared" si="17"/>
        <v>400000</v>
      </c>
      <c r="X39" s="510">
        <f t="shared" si="17"/>
        <v>400000</v>
      </c>
      <c r="Y39" s="510">
        <f t="shared" si="17"/>
        <v>400000</v>
      </c>
      <c r="Z39" s="510">
        <f t="shared" si="17"/>
        <v>400000</v>
      </c>
      <c r="AA39" s="510">
        <f t="shared" si="17"/>
        <v>400000</v>
      </c>
      <c r="AB39" s="510">
        <f t="shared" si="17"/>
        <v>400000</v>
      </c>
      <c r="AC39" s="510">
        <f t="shared" si="17"/>
        <v>400000</v>
      </c>
      <c r="AD39" s="510">
        <f t="shared" si="17"/>
        <v>400000</v>
      </c>
      <c r="AE39" s="510">
        <f t="shared" si="17"/>
        <v>400000</v>
      </c>
      <c r="AF39" s="510">
        <f t="shared" si="17"/>
        <v>400000</v>
      </c>
      <c r="AG39" s="510">
        <f t="shared" si="17"/>
        <v>400000</v>
      </c>
      <c r="AH39" s="510">
        <f t="shared" si="17"/>
        <v>400000</v>
      </c>
      <c r="AI39" s="510">
        <f t="shared" si="17"/>
        <v>400000</v>
      </c>
      <c r="AJ39" s="510">
        <f t="shared" si="17"/>
        <v>400000</v>
      </c>
      <c r="AK39" s="509">
        <f t="shared" si="17"/>
        <v>400000</v>
      </c>
    </row>
    <row r="40" spans="1:38">
      <c r="A40" s="452"/>
      <c r="B40" s="452"/>
      <c r="C40" s="452"/>
      <c r="D40" s="452"/>
      <c r="E40" s="452"/>
      <c r="F40" s="452"/>
      <c r="G40" s="452"/>
      <c r="H40" s="508"/>
      <c r="I40" s="508"/>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row>
    <row r="41" spans="1:38" ht="13.5" thickBot="1">
      <c r="A41" s="452"/>
      <c r="B41" s="452"/>
      <c r="C41" s="456"/>
      <c r="D41" s="456"/>
      <c r="E41" s="456"/>
      <c r="F41" s="456"/>
      <c r="G41" s="456"/>
      <c r="H41" s="456"/>
      <c r="I41" s="456"/>
      <c r="J41" s="456"/>
      <c r="K41" s="456"/>
      <c r="L41" s="456"/>
      <c r="M41" s="456"/>
      <c r="N41" s="456"/>
      <c r="O41" s="456"/>
      <c r="P41" s="456"/>
      <c r="Q41" s="456"/>
      <c r="R41" s="456"/>
      <c r="S41" s="456"/>
      <c r="T41" s="456"/>
      <c r="U41" s="456"/>
      <c r="V41" s="456"/>
      <c r="W41" s="456"/>
      <c r="X41" s="456"/>
      <c r="Y41" s="456"/>
      <c r="Z41" s="456"/>
      <c r="AA41" s="456"/>
      <c r="AB41" s="456"/>
      <c r="AC41" s="456"/>
      <c r="AD41" s="456"/>
      <c r="AE41" s="456"/>
      <c r="AF41" s="456"/>
      <c r="AG41" s="456"/>
      <c r="AH41" s="456"/>
      <c r="AI41" s="456"/>
      <c r="AJ41" s="456"/>
      <c r="AK41" s="456"/>
    </row>
    <row r="42" spans="1:38">
      <c r="A42" s="452"/>
      <c r="B42" s="892" t="s">
        <v>533</v>
      </c>
      <c r="C42" s="507" t="s">
        <v>532</v>
      </c>
      <c r="D42" s="894" t="s">
        <v>531</v>
      </c>
      <c r="E42" s="894" t="s">
        <v>530</v>
      </c>
      <c r="F42" s="897" t="s">
        <v>529</v>
      </c>
      <c r="G42" s="506" t="s">
        <v>528</v>
      </c>
      <c r="H42" s="505">
        <v>2023</v>
      </c>
      <c r="I42" s="504">
        <f>H42+1</f>
        <v>2024</v>
      </c>
      <c r="J42" s="504">
        <f>I42+1</f>
        <v>2025</v>
      </c>
      <c r="K42" s="504">
        <f t="shared" ref="K42:AI42" si="18">J42+1</f>
        <v>2026</v>
      </c>
      <c r="L42" s="504">
        <f t="shared" si="18"/>
        <v>2027</v>
      </c>
      <c r="M42" s="504">
        <f t="shared" si="18"/>
        <v>2028</v>
      </c>
      <c r="N42" s="504">
        <f t="shared" si="18"/>
        <v>2029</v>
      </c>
      <c r="O42" s="504">
        <f t="shared" si="18"/>
        <v>2030</v>
      </c>
      <c r="P42" s="504">
        <f t="shared" si="18"/>
        <v>2031</v>
      </c>
      <c r="Q42" s="504">
        <f t="shared" si="18"/>
        <v>2032</v>
      </c>
      <c r="R42" s="504">
        <f t="shared" si="18"/>
        <v>2033</v>
      </c>
      <c r="S42" s="504">
        <f t="shared" si="18"/>
        <v>2034</v>
      </c>
      <c r="T42" s="504">
        <f t="shared" si="18"/>
        <v>2035</v>
      </c>
      <c r="U42" s="504">
        <f t="shared" si="18"/>
        <v>2036</v>
      </c>
      <c r="V42" s="504">
        <f t="shared" si="18"/>
        <v>2037</v>
      </c>
      <c r="W42" s="504">
        <f t="shared" si="18"/>
        <v>2038</v>
      </c>
      <c r="X42" s="504">
        <f t="shared" si="18"/>
        <v>2039</v>
      </c>
      <c r="Y42" s="504">
        <f t="shared" si="18"/>
        <v>2040</v>
      </c>
      <c r="Z42" s="504">
        <f t="shared" si="18"/>
        <v>2041</v>
      </c>
      <c r="AA42" s="504">
        <f t="shared" si="18"/>
        <v>2042</v>
      </c>
      <c r="AB42" s="504">
        <f t="shared" si="18"/>
        <v>2043</v>
      </c>
      <c r="AC42" s="504">
        <f t="shared" si="18"/>
        <v>2044</v>
      </c>
      <c r="AD42" s="504">
        <f t="shared" si="18"/>
        <v>2045</v>
      </c>
      <c r="AE42" s="504">
        <f t="shared" si="18"/>
        <v>2046</v>
      </c>
      <c r="AF42" s="504">
        <f t="shared" si="18"/>
        <v>2047</v>
      </c>
      <c r="AG42" s="504">
        <f t="shared" si="18"/>
        <v>2048</v>
      </c>
      <c r="AH42" s="504">
        <f t="shared" si="18"/>
        <v>2049</v>
      </c>
      <c r="AI42" s="504">
        <f t="shared" si="18"/>
        <v>2050</v>
      </c>
      <c r="AJ42" s="504">
        <f>AI42+1</f>
        <v>2051</v>
      </c>
      <c r="AK42" s="504">
        <f>AJ42+1</f>
        <v>2052</v>
      </c>
    </row>
    <row r="43" spans="1:38">
      <c r="A43" s="452"/>
      <c r="B43" s="893"/>
      <c r="C43" s="503" t="s">
        <v>527</v>
      </c>
      <c r="D43" s="895"/>
      <c r="E43" s="895"/>
      <c r="F43" s="898"/>
      <c r="G43" s="502" t="s">
        <v>526</v>
      </c>
      <c r="H43" s="501">
        <v>11</v>
      </c>
      <c r="I43" s="501">
        <v>11</v>
      </c>
      <c r="J43" s="501">
        <v>11</v>
      </c>
      <c r="K43" s="501">
        <v>11</v>
      </c>
      <c r="L43" s="501">
        <v>11</v>
      </c>
      <c r="M43" s="501">
        <v>11</v>
      </c>
      <c r="N43" s="501">
        <v>11</v>
      </c>
      <c r="O43" s="501">
        <v>11</v>
      </c>
      <c r="P43" s="501">
        <v>11</v>
      </c>
      <c r="Q43" s="501">
        <v>11</v>
      </c>
      <c r="R43" s="501">
        <v>11</v>
      </c>
      <c r="S43" s="501">
        <v>11</v>
      </c>
      <c r="T43" s="501">
        <v>11</v>
      </c>
      <c r="U43" s="501">
        <v>11</v>
      </c>
      <c r="V43" s="501">
        <v>11</v>
      </c>
      <c r="W43" s="501">
        <v>11</v>
      </c>
      <c r="X43" s="501">
        <v>11</v>
      </c>
      <c r="Y43" s="501">
        <v>11</v>
      </c>
      <c r="Z43" s="501">
        <v>11</v>
      </c>
      <c r="AA43" s="501">
        <v>11</v>
      </c>
      <c r="AB43" s="501">
        <v>11</v>
      </c>
      <c r="AC43" s="501">
        <v>11</v>
      </c>
      <c r="AD43" s="501">
        <v>11</v>
      </c>
      <c r="AE43" s="501">
        <v>11</v>
      </c>
      <c r="AF43" s="501">
        <v>11</v>
      </c>
      <c r="AG43" s="501">
        <v>11</v>
      </c>
      <c r="AH43" s="501">
        <v>11</v>
      </c>
      <c r="AI43" s="501">
        <v>11</v>
      </c>
      <c r="AJ43" s="501">
        <v>11</v>
      </c>
      <c r="AK43" s="501">
        <v>11</v>
      </c>
    </row>
    <row r="44" spans="1:38" ht="13.5" thickBot="1">
      <c r="A44" s="452"/>
      <c r="B44" s="500" t="s">
        <v>525</v>
      </c>
      <c r="C44" s="499">
        <f>340*900</f>
        <v>306000</v>
      </c>
      <c r="D44" s="896"/>
      <c r="E44" s="896"/>
      <c r="F44" s="899"/>
      <c r="G44" s="498" t="s">
        <v>524</v>
      </c>
      <c r="H44" s="497">
        <v>10</v>
      </c>
      <c r="I44" s="497">
        <v>10</v>
      </c>
      <c r="J44" s="497">
        <v>10</v>
      </c>
      <c r="K44" s="497">
        <v>10</v>
      </c>
      <c r="L44" s="497">
        <v>10</v>
      </c>
      <c r="M44" s="497">
        <v>10</v>
      </c>
      <c r="N44" s="497">
        <v>10</v>
      </c>
      <c r="O44" s="497">
        <v>10</v>
      </c>
      <c r="P44" s="497">
        <v>10</v>
      </c>
      <c r="Q44" s="497">
        <v>10</v>
      </c>
      <c r="R44" s="497">
        <v>10</v>
      </c>
      <c r="S44" s="497">
        <v>10</v>
      </c>
      <c r="T44" s="497">
        <v>10</v>
      </c>
      <c r="U44" s="497">
        <v>10</v>
      </c>
      <c r="V44" s="497">
        <v>10</v>
      </c>
      <c r="W44" s="497">
        <v>10</v>
      </c>
      <c r="X44" s="497">
        <v>10</v>
      </c>
      <c r="Y44" s="497">
        <v>10</v>
      </c>
      <c r="Z44" s="497">
        <v>10</v>
      </c>
      <c r="AA44" s="497">
        <v>10</v>
      </c>
      <c r="AB44" s="497">
        <v>10</v>
      </c>
      <c r="AC44" s="497">
        <v>10</v>
      </c>
      <c r="AD44" s="497">
        <v>10</v>
      </c>
      <c r="AE44" s="497">
        <v>10</v>
      </c>
      <c r="AF44" s="497">
        <v>10</v>
      </c>
      <c r="AG44" s="497">
        <v>10</v>
      </c>
      <c r="AH44" s="497">
        <v>10</v>
      </c>
      <c r="AI44" s="497">
        <v>10</v>
      </c>
      <c r="AJ44" s="497">
        <v>10</v>
      </c>
      <c r="AK44" s="497">
        <v>10</v>
      </c>
    </row>
    <row r="45" spans="1:38">
      <c r="A45" s="452"/>
      <c r="B45" s="496" t="s">
        <v>523</v>
      </c>
      <c r="C45" s="495" t="s">
        <v>276</v>
      </c>
      <c r="D45" s="494">
        <v>2.76</v>
      </c>
      <c r="E45" s="493">
        <f>340*900</f>
        <v>306000</v>
      </c>
      <c r="F45" s="492">
        <f>D45*E45</f>
        <v>844559.99999999988</v>
      </c>
      <c r="G45" s="900"/>
      <c r="H45" s="491">
        <f>$F$45*H43</f>
        <v>9290159.9999999981</v>
      </c>
      <c r="I45" s="490">
        <f t="shared" ref="I45:AK45" si="19">$F$45*I43</f>
        <v>9290159.9999999981</v>
      </c>
      <c r="J45" s="490">
        <f t="shared" si="19"/>
        <v>9290159.9999999981</v>
      </c>
      <c r="K45" s="490">
        <f t="shared" si="19"/>
        <v>9290159.9999999981</v>
      </c>
      <c r="L45" s="490">
        <f t="shared" si="19"/>
        <v>9290159.9999999981</v>
      </c>
      <c r="M45" s="490">
        <f t="shared" si="19"/>
        <v>9290159.9999999981</v>
      </c>
      <c r="N45" s="490">
        <f t="shared" si="19"/>
        <v>9290159.9999999981</v>
      </c>
      <c r="O45" s="490">
        <f t="shared" si="19"/>
        <v>9290159.9999999981</v>
      </c>
      <c r="P45" s="490">
        <f t="shared" si="19"/>
        <v>9290159.9999999981</v>
      </c>
      <c r="Q45" s="490">
        <f t="shared" si="19"/>
        <v>9290159.9999999981</v>
      </c>
      <c r="R45" s="490">
        <f t="shared" si="19"/>
        <v>9290159.9999999981</v>
      </c>
      <c r="S45" s="490">
        <f t="shared" si="19"/>
        <v>9290159.9999999981</v>
      </c>
      <c r="T45" s="490">
        <f t="shared" si="19"/>
        <v>9290159.9999999981</v>
      </c>
      <c r="U45" s="490">
        <f t="shared" si="19"/>
        <v>9290159.9999999981</v>
      </c>
      <c r="V45" s="490">
        <f t="shared" si="19"/>
        <v>9290159.9999999981</v>
      </c>
      <c r="W45" s="490">
        <f t="shared" si="19"/>
        <v>9290159.9999999981</v>
      </c>
      <c r="X45" s="490">
        <f t="shared" si="19"/>
        <v>9290159.9999999981</v>
      </c>
      <c r="Y45" s="490">
        <f t="shared" si="19"/>
        <v>9290159.9999999981</v>
      </c>
      <c r="Z45" s="490">
        <f t="shared" si="19"/>
        <v>9290159.9999999981</v>
      </c>
      <c r="AA45" s="490">
        <f t="shared" si="19"/>
        <v>9290159.9999999981</v>
      </c>
      <c r="AB45" s="490">
        <f t="shared" si="19"/>
        <v>9290159.9999999981</v>
      </c>
      <c r="AC45" s="490">
        <f t="shared" si="19"/>
        <v>9290159.9999999981</v>
      </c>
      <c r="AD45" s="490">
        <f t="shared" si="19"/>
        <v>9290159.9999999981</v>
      </c>
      <c r="AE45" s="490">
        <f t="shared" si="19"/>
        <v>9290159.9999999981</v>
      </c>
      <c r="AF45" s="490">
        <f t="shared" si="19"/>
        <v>9290159.9999999981</v>
      </c>
      <c r="AG45" s="490">
        <f t="shared" si="19"/>
        <v>9290159.9999999981</v>
      </c>
      <c r="AH45" s="490">
        <f t="shared" si="19"/>
        <v>9290159.9999999981</v>
      </c>
      <c r="AI45" s="490">
        <f t="shared" si="19"/>
        <v>9290159.9999999981</v>
      </c>
      <c r="AJ45" s="490">
        <f t="shared" si="19"/>
        <v>9290159.9999999981</v>
      </c>
      <c r="AK45" s="489">
        <f t="shared" si="19"/>
        <v>9290159.9999999981</v>
      </c>
    </row>
    <row r="46" spans="1:38">
      <c r="A46" s="452"/>
      <c r="B46" s="477" t="s">
        <v>522</v>
      </c>
      <c r="C46" s="476" t="s">
        <v>276</v>
      </c>
      <c r="D46" s="488"/>
      <c r="E46" s="487"/>
      <c r="F46" s="486"/>
      <c r="G46" s="900"/>
      <c r="H46" s="481"/>
      <c r="I46" s="480"/>
      <c r="J46" s="480"/>
      <c r="K46" s="480"/>
      <c r="L46" s="480"/>
      <c r="M46" s="480"/>
      <c r="N46" s="480"/>
      <c r="O46" s="480"/>
      <c r="P46" s="480"/>
      <c r="Q46" s="480"/>
      <c r="R46" s="480"/>
      <c r="S46" s="480"/>
      <c r="T46" s="480"/>
      <c r="U46" s="480"/>
      <c r="V46" s="480"/>
      <c r="W46" s="480"/>
      <c r="X46" s="480"/>
      <c r="Y46" s="480"/>
      <c r="Z46" s="480"/>
      <c r="AA46" s="480"/>
      <c r="AB46" s="480"/>
      <c r="AC46" s="480"/>
      <c r="AD46" s="480"/>
      <c r="AE46" s="480"/>
      <c r="AF46" s="480"/>
      <c r="AG46" s="480"/>
      <c r="AH46" s="480"/>
      <c r="AI46" s="480"/>
      <c r="AJ46" s="480"/>
      <c r="AK46" s="479"/>
    </row>
    <row r="47" spans="1:38">
      <c r="A47" s="485"/>
      <c r="B47" s="477" t="s">
        <v>521</v>
      </c>
      <c r="C47" s="476" t="s">
        <v>276</v>
      </c>
      <c r="D47" s="475">
        <v>0.64</v>
      </c>
      <c r="E47" s="474">
        <f>340*900</f>
        <v>306000</v>
      </c>
      <c r="F47" s="473">
        <f>D47*E47</f>
        <v>195840</v>
      </c>
      <c r="G47" s="900"/>
      <c r="H47" s="472">
        <f>$F$47*H43</f>
        <v>2154240</v>
      </c>
      <c r="I47" s="471">
        <f t="shared" ref="I47:AK47" si="20">$F$47*I43</f>
        <v>2154240</v>
      </c>
      <c r="J47" s="471">
        <f t="shared" si="20"/>
        <v>2154240</v>
      </c>
      <c r="K47" s="471">
        <f t="shared" si="20"/>
        <v>2154240</v>
      </c>
      <c r="L47" s="471">
        <f t="shared" si="20"/>
        <v>2154240</v>
      </c>
      <c r="M47" s="471">
        <f t="shared" si="20"/>
        <v>2154240</v>
      </c>
      <c r="N47" s="471">
        <f t="shared" si="20"/>
        <v>2154240</v>
      </c>
      <c r="O47" s="471">
        <f t="shared" si="20"/>
        <v>2154240</v>
      </c>
      <c r="P47" s="471">
        <f t="shared" si="20"/>
        <v>2154240</v>
      </c>
      <c r="Q47" s="471">
        <f t="shared" si="20"/>
        <v>2154240</v>
      </c>
      <c r="R47" s="471">
        <f t="shared" si="20"/>
        <v>2154240</v>
      </c>
      <c r="S47" s="471">
        <f t="shared" si="20"/>
        <v>2154240</v>
      </c>
      <c r="T47" s="471">
        <f t="shared" si="20"/>
        <v>2154240</v>
      </c>
      <c r="U47" s="471">
        <f t="shared" si="20"/>
        <v>2154240</v>
      </c>
      <c r="V47" s="471">
        <f t="shared" si="20"/>
        <v>2154240</v>
      </c>
      <c r="W47" s="471">
        <f t="shared" si="20"/>
        <v>2154240</v>
      </c>
      <c r="X47" s="471">
        <f t="shared" si="20"/>
        <v>2154240</v>
      </c>
      <c r="Y47" s="471">
        <f t="shared" si="20"/>
        <v>2154240</v>
      </c>
      <c r="Z47" s="471">
        <f t="shared" si="20"/>
        <v>2154240</v>
      </c>
      <c r="AA47" s="471">
        <f t="shared" si="20"/>
        <v>2154240</v>
      </c>
      <c r="AB47" s="471">
        <f t="shared" si="20"/>
        <v>2154240</v>
      </c>
      <c r="AC47" s="471">
        <f t="shared" si="20"/>
        <v>2154240</v>
      </c>
      <c r="AD47" s="471">
        <f t="shared" si="20"/>
        <v>2154240</v>
      </c>
      <c r="AE47" s="471">
        <f t="shared" si="20"/>
        <v>2154240</v>
      </c>
      <c r="AF47" s="471">
        <f t="shared" si="20"/>
        <v>2154240</v>
      </c>
      <c r="AG47" s="471">
        <f t="shared" si="20"/>
        <v>2154240</v>
      </c>
      <c r="AH47" s="471">
        <f t="shared" si="20"/>
        <v>2154240</v>
      </c>
      <c r="AI47" s="471">
        <f t="shared" si="20"/>
        <v>2154240</v>
      </c>
      <c r="AJ47" s="471">
        <f t="shared" si="20"/>
        <v>2154240</v>
      </c>
      <c r="AK47" s="470">
        <f t="shared" si="20"/>
        <v>2154240</v>
      </c>
    </row>
    <row r="48" spans="1:38">
      <c r="A48" s="452"/>
      <c r="B48" s="477" t="s">
        <v>284</v>
      </c>
      <c r="C48" s="476" t="s">
        <v>276</v>
      </c>
      <c r="D48" s="484"/>
      <c r="E48" s="483"/>
      <c r="F48" s="482"/>
      <c r="G48" s="900"/>
      <c r="H48" s="481"/>
      <c r="I48" s="480"/>
      <c r="J48" s="480"/>
      <c r="K48" s="480"/>
      <c r="L48" s="480"/>
      <c r="M48" s="480"/>
      <c r="N48" s="480"/>
      <c r="O48" s="480"/>
      <c r="P48" s="480"/>
      <c r="Q48" s="480"/>
      <c r="R48" s="480"/>
      <c r="S48" s="480"/>
      <c r="T48" s="480"/>
      <c r="U48" s="480"/>
      <c r="V48" s="480"/>
      <c r="W48" s="480"/>
      <c r="X48" s="480"/>
      <c r="Y48" s="480"/>
      <c r="Z48" s="480"/>
      <c r="AA48" s="480"/>
      <c r="AB48" s="480"/>
      <c r="AC48" s="480"/>
      <c r="AD48" s="480"/>
      <c r="AE48" s="480"/>
      <c r="AF48" s="480"/>
      <c r="AG48" s="480"/>
      <c r="AH48" s="480"/>
      <c r="AI48" s="480"/>
      <c r="AJ48" s="480"/>
      <c r="AK48" s="479"/>
      <c r="AL48" s="429"/>
    </row>
    <row r="49" spans="1:60">
      <c r="A49" s="452"/>
      <c r="B49" s="477" t="s">
        <v>287</v>
      </c>
      <c r="C49" s="476" t="s">
        <v>276</v>
      </c>
      <c r="D49" s="484"/>
      <c r="E49" s="483"/>
      <c r="F49" s="482"/>
      <c r="G49" s="900"/>
      <c r="H49" s="481"/>
      <c r="I49" s="480"/>
      <c r="J49" s="480"/>
      <c r="K49" s="480"/>
      <c r="L49" s="480"/>
      <c r="M49" s="480"/>
      <c r="N49" s="480"/>
      <c r="O49" s="480"/>
      <c r="P49" s="480"/>
      <c r="Q49" s="480"/>
      <c r="R49" s="480"/>
      <c r="S49" s="480"/>
      <c r="T49" s="480"/>
      <c r="U49" s="480"/>
      <c r="V49" s="480"/>
      <c r="W49" s="480"/>
      <c r="X49" s="480"/>
      <c r="Y49" s="480"/>
      <c r="Z49" s="480"/>
      <c r="AA49" s="480"/>
      <c r="AB49" s="480"/>
      <c r="AC49" s="480"/>
      <c r="AD49" s="480"/>
      <c r="AE49" s="480"/>
      <c r="AF49" s="480"/>
      <c r="AG49" s="480"/>
      <c r="AH49" s="480"/>
      <c r="AI49" s="480"/>
      <c r="AJ49" s="480"/>
      <c r="AK49" s="479"/>
      <c r="AN49" s="429"/>
      <c r="AO49" s="429"/>
      <c r="AP49" s="429"/>
      <c r="AQ49" s="429"/>
      <c r="AR49" s="429"/>
      <c r="AS49" s="429"/>
      <c r="AT49" s="429"/>
      <c r="AU49" s="429"/>
      <c r="AV49" s="429"/>
      <c r="AW49" s="429"/>
      <c r="AX49" s="429"/>
      <c r="AY49" s="429"/>
      <c r="AZ49" s="429"/>
      <c r="BA49" s="429"/>
      <c r="BB49" s="429"/>
      <c r="BC49" s="429"/>
      <c r="BD49" s="429"/>
      <c r="BE49" s="429"/>
      <c r="BF49" s="429"/>
      <c r="BG49" s="429"/>
      <c r="BH49" s="429"/>
    </row>
    <row r="50" spans="1:60" s="429" customFormat="1">
      <c r="A50" s="452"/>
      <c r="B50" s="477" t="s">
        <v>520</v>
      </c>
      <c r="C50" s="476" t="s">
        <v>276</v>
      </c>
      <c r="D50" s="478">
        <v>0.36</v>
      </c>
      <c r="E50" s="474">
        <f>340*900</f>
        <v>306000</v>
      </c>
      <c r="F50" s="473">
        <f>D50*E50</f>
        <v>110160</v>
      </c>
      <c r="G50" s="900"/>
      <c r="H50" s="472">
        <f>$F$50*H43</f>
        <v>1211760</v>
      </c>
      <c r="I50" s="472">
        <f t="shared" ref="I50:AK50" si="21">$F$50*I43</f>
        <v>1211760</v>
      </c>
      <c r="J50" s="472">
        <f t="shared" si="21"/>
        <v>1211760</v>
      </c>
      <c r="K50" s="472">
        <f t="shared" si="21"/>
        <v>1211760</v>
      </c>
      <c r="L50" s="472">
        <f t="shared" si="21"/>
        <v>1211760</v>
      </c>
      <c r="M50" s="472">
        <f t="shared" si="21"/>
        <v>1211760</v>
      </c>
      <c r="N50" s="472">
        <f t="shared" si="21"/>
        <v>1211760</v>
      </c>
      <c r="O50" s="472">
        <f t="shared" si="21"/>
        <v>1211760</v>
      </c>
      <c r="P50" s="472">
        <f t="shared" si="21"/>
        <v>1211760</v>
      </c>
      <c r="Q50" s="472">
        <f t="shared" si="21"/>
        <v>1211760</v>
      </c>
      <c r="R50" s="472">
        <f t="shared" si="21"/>
        <v>1211760</v>
      </c>
      <c r="S50" s="472">
        <f t="shared" si="21"/>
        <v>1211760</v>
      </c>
      <c r="T50" s="472">
        <f t="shared" si="21"/>
        <v>1211760</v>
      </c>
      <c r="U50" s="472">
        <f t="shared" si="21"/>
        <v>1211760</v>
      </c>
      <c r="V50" s="472">
        <f t="shared" si="21"/>
        <v>1211760</v>
      </c>
      <c r="W50" s="472">
        <f t="shared" si="21"/>
        <v>1211760</v>
      </c>
      <c r="X50" s="472">
        <f t="shared" si="21"/>
        <v>1211760</v>
      </c>
      <c r="Y50" s="472">
        <f t="shared" si="21"/>
        <v>1211760</v>
      </c>
      <c r="Z50" s="472">
        <f t="shared" si="21"/>
        <v>1211760</v>
      </c>
      <c r="AA50" s="472">
        <f t="shared" si="21"/>
        <v>1211760</v>
      </c>
      <c r="AB50" s="472">
        <f t="shared" si="21"/>
        <v>1211760</v>
      </c>
      <c r="AC50" s="472">
        <f t="shared" si="21"/>
        <v>1211760</v>
      </c>
      <c r="AD50" s="472">
        <f t="shared" si="21"/>
        <v>1211760</v>
      </c>
      <c r="AE50" s="472">
        <f t="shared" si="21"/>
        <v>1211760</v>
      </c>
      <c r="AF50" s="472">
        <f t="shared" si="21"/>
        <v>1211760</v>
      </c>
      <c r="AG50" s="472">
        <f t="shared" si="21"/>
        <v>1211760</v>
      </c>
      <c r="AH50" s="472">
        <f t="shared" si="21"/>
        <v>1211760</v>
      </c>
      <c r="AI50" s="472">
        <f t="shared" si="21"/>
        <v>1211760</v>
      </c>
      <c r="AJ50" s="472">
        <f t="shared" si="21"/>
        <v>1211760</v>
      </c>
      <c r="AK50" s="472">
        <f t="shared" si="21"/>
        <v>1211760</v>
      </c>
      <c r="AL50" s="428"/>
      <c r="AM50" s="428"/>
      <c r="AN50" s="428"/>
      <c r="AO50" s="428"/>
      <c r="AP50" s="428"/>
      <c r="AQ50" s="428"/>
      <c r="AR50" s="428"/>
      <c r="AS50" s="428"/>
      <c r="AT50" s="428"/>
      <c r="AU50" s="428"/>
      <c r="AV50" s="428"/>
      <c r="AW50" s="428"/>
      <c r="AX50" s="428"/>
      <c r="AY50" s="428"/>
      <c r="AZ50" s="428"/>
      <c r="BA50" s="428"/>
      <c r="BB50" s="428"/>
      <c r="BC50" s="428"/>
      <c r="BD50" s="428"/>
      <c r="BE50" s="428"/>
      <c r="BF50" s="428"/>
      <c r="BG50" s="428"/>
      <c r="BH50" s="428"/>
    </row>
    <row r="51" spans="1:60">
      <c r="A51" s="452"/>
      <c r="B51" s="477" t="s">
        <v>330</v>
      </c>
      <c r="C51" s="476" t="s">
        <v>276</v>
      </c>
      <c r="D51" s="475">
        <v>1.84</v>
      </c>
      <c r="E51" s="474">
        <f>340*900</f>
        <v>306000</v>
      </c>
      <c r="F51" s="473">
        <f t="shared" ref="F51:F52" si="22">D51*E51</f>
        <v>563040</v>
      </c>
      <c r="G51" s="900"/>
      <c r="H51" s="472">
        <f>$F$51*H43</f>
        <v>6193440</v>
      </c>
      <c r="I51" s="471">
        <f t="shared" ref="I51:AK51" si="23">$F$51*I43</f>
        <v>6193440</v>
      </c>
      <c r="J51" s="471">
        <f t="shared" si="23"/>
        <v>6193440</v>
      </c>
      <c r="K51" s="471">
        <f t="shared" si="23"/>
        <v>6193440</v>
      </c>
      <c r="L51" s="471">
        <f t="shared" si="23"/>
        <v>6193440</v>
      </c>
      <c r="M51" s="471">
        <f t="shared" si="23"/>
        <v>6193440</v>
      </c>
      <c r="N51" s="471">
        <f t="shared" si="23"/>
        <v>6193440</v>
      </c>
      <c r="O51" s="471">
        <f t="shared" si="23"/>
        <v>6193440</v>
      </c>
      <c r="P51" s="471">
        <f t="shared" si="23"/>
        <v>6193440</v>
      </c>
      <c r="Q51" s="471">
        <f t="shared" si="23"/>
        <v>6193440</v>
      </c>
      <c r="R51" s="471">
        <f t="shared" si="23"/>
        <v>6193440</v>
      </c>
      <c r="S51" s="471">
        <f t="shared" si="23"/>
        <v>6193440</v>
      </c>
      <c r="T51" s="471">
        <f t="shared" si="23"/>
        <v>6193440</v>
      </c>
      <c r="U51" s="471">
        <f t="shared" si="23"/>
        <v>6193440</v>
      </c>
      <c r="V51" s="471">
        <f t="shared" si="23"/>
        <v>6193440</v>
      </c>
      <c r="W51" s="471">
        <f t="shared" si="23"/>
        <v>6193440</v>
      </c>
      <c r="X51" s="471">
        <f t="shared" si="23"/>
        <v>6193440</v>
      </c>
      <c r="Y51" s="471">
        <f t="shared" si="23"/>
        <v>6193440</v>
      </c>
      <c r="Z51" s="471">
        <f t="shared" si="23"/>
        <v>6193440</v>
      </c>
      <c r="AA51" s="471">
        <f t="shared" si="23"/>
        <v>6193440</v>
      </c>
      <c r="AB51" s="471">
        <f t="shared" si="23"/>
        <v>6193440</v>
      </c>
      <c r="AC51" s="471">
        <f t="shared" si="23"/>
        <v>6193440</v>
      </c>
      <c r="AD51" s="471">
        <f t="shared" si="23"/>
        <v>6193440</v>
      </c>
      <c r="AE51" s="471">
        <f t="shared" si="23"/>
        <v>6193440</v>
      </c>
      <c r="AF51" s="471">
        <f t="shared" si="23"/>
        <v>6193440</v>
      </c>
      <c r="AG51" s="471">
        <f t="shared" si="23"/>
        <v>6193440</v>
      </c>
      <c r="AH51" s="471">
        <f t="shared" si="23"/>
        <v>6193440</v>
      </c>
      <c r="AI51" s="471">
        <f t="shared" si="23"/>
        <v>6193440</v>
      </c>
      <c r="AJ51" s="471">
        <f t="shared" si="23"/>
        <v>6193440</v>
      </c>
      <c r="AK51" s="470">
        <f t="shared" si="23"/>
        <v>6193440</v>
      </c>
    </row>
    <row r="52" spans="1:60">
      <c r="A52" s="452"/>
      <c r="B52" s="477" t="s">
        <v>331</v>
      </c>
      <c r="C52" s="476" t="s">
        <v>276</v>
      </c>
      <c r="D52" s="475">
        <v>1.93</v>
      </c>
      <c r="E52" s="474">
        <f>340*900</f>
        <v>306000</v>
      </c>
      <c r="F52" s="473">
        <f t="shared" si="22"/>
        <v>590580</v>
      </c>
      <c r="G52" s="900"/>
      <c r="H52" s="472">
        <f>$F$52*H43</f>
        <v>6496380</v>
      </c>
      <c r="I52" s="471">
        <f t="shared" ref="I52:AK52" si="24">$F$52*I43</f>
        <v>6496380</v>
      </c>
      <c r="J52" s="471">
        <f t="shared" si="24"/>
        <v>6496380</v>
      </c>
      <c r="K52" s="471">
        <f t="shared" si="24"/>
        <v>6496380</v>
      </c>
      <c r="L52" s="471">
        <f t="shared" si="24"/>
        <v>6496380</v>
      </c>
      <c r="M52" s="471">
        <f t="shared" si="24"/>
        <v>6496380</v>
      </c>
      <c r="N52" s="471">
        <f t="shared" si="24"/>
        <v>6496380</v>
      </c>
      <c r="O52" s="471">
        <f t="shared" si="24"/>
        <v>6496380</v>
      </c>
      <c r="P52" s="471">
        <f t="shared" si="24"/>
        <v>6496380</v>
      </c>
      <c r="Q52" s="471">
        <f t="shared" si="24"/>
        <v>6496380</v>
      </c>
      <c r="R52" s="471">
        <f t="shared" si="24"/>
        <v>6496380</v>
      </c>
      <c r="S52" s="471">
        <f t="shared" si="24"/>
        <v>6496380</v>
      </c>
      <c r="T52" s="471">
        <f t="shared" si="24"/>
        <v>6496380</v>
      </c>
      <c r="U52" s="471">
        <f t="shared" si="24"/>
        <v>6496380</v>
      </c>
      <c r="V52" s="471">
        <f t="shared" si="24"/>
        <v>6496380</v>
      </c>
      <c r="W52" s="471">
        <f t="shared" si="24"/>
        <v>6496380</v>
      </c>
      <c r="X52" s="471">
        <f t="shared" si="24"/>
        <v>6496380</v>
      </c>
      <c r="Y52" s="471">
        <f t="shared" si="24"/>
        <v>6496380</v>
      </c>
      <c r="Z52" s="471">
        <f t="shared" si="24"/>
        <v>6496380</v>
      </c>
      <c r="AA52" s="471">
        <f t="shared" si="24"/>
        <v>6496380</v>
      </c>
      <c r="AB52" s="471">
        <f t="shared" si="24"/>
        <v>6496380</v>
      </c>
      <c r="AC52" s="471">
        <f t="shared" si="24"/>
        <v>6496380</v>
      </c>
      <c r="AD52" s="471">
        <f t="shared" si="24"/>
        <v>6496380</v>
      </c>
      <c r="AE52" s="471">
        <f t="shared" si="24"/>
        <v>6496380</v>
      </c>
      <c r="AF52" s="471">
        <f t="shared" si="24"/>
        <v>6496380</v>
      </c>
      <c r="AG52" s="471">
        <f t="shared" si="24"/>
        <v>6496380</v>
      </c>
      <c r="AH52" s="471">
        <f t="shared" si="24"/>
        <v>6496380</v>
      </c>
      <c r="AI52" s="471">
        <f t="shared" si="24"/>
        <v>6496380</v>
      </c>
      <c r="AJ52" s="471">
        <f t="shared" si="24"/>
        <v>6496380</v>
      </c>
      <c r="AK52" s="470">
        <f t="shared" si="24"/>
        <v>6496380</v>
      </c>
    </row>
    <row r="53" spans="1:60" ht="13.5" thickBot="1">
      <c r="A53" s="452"/>
      <c r="B53" s="469" t="s">
        <v>519</v>
      </c>
      <c r="C53" s="468" t="s">
        <v>276</v>
      </c>
      <c r="D53" s="467"/>
      <c r="E53" s="466"/>
      <c r="F53" s="465"/>
      <c r="G53" s="900"/>
      <c r="H53" s="464"/>
      <c r="I53" s="463"/>
      <c r="J53" s="463"/>
      <c r="K53" s="463"/>
      <c r="L53" s="463"/>
      <c r="M53" s="463"/>
      <c r="N53" s="463"/>
      <c r="O53" s="463"/>
      <c r="P53" s="463"/>
      <c r="Q53" s="463"/>
      <c r="R53" s="463"/>
      <c r="S53" s="463"/>
      <c r="T53" s="463"/>
      <c r="U53" s="463"/>
      <c r="V53" s="463"/>
      <c r="W53" s="463"/>
      <c r="X53" s="463"/>
      <c r="Y53" s="463"/>
      <c r="Z53" s="463"/>
      <c r="AA53" s="463"/>
      <c r="AB53" s="463"/>
      <c r="AC53" s="463"/>
      <c r="AD53" s="463"/>
      <c r="AE53" s="463"/>
      <c r="AF53" s="463"/>
      <c r="AG53" s="463"/>
      <c r="AH53" s="463"/>
      <c r="AI53" s="463"/>
      <c r="AJ53" s="463"/>
      <c r="AK53" s="462"/>
    </row>
    <row r="54" spans="1:60" ht="14.25" thickTop="1" thickBot="1">
      <c r="A54" s="452"/>
      <c r="B54" s="461" t="s">
        <v>518</v>
      </c>
      <c r="C54" s="460" t="s">
        <v>276</v>
      </c>
      <c r="D54" s="459">
        <v>1.1200000000000001</v>
      </c>
      <c r="E54" s="458">
        <f>340*900</f>
        <v>306000</v>
      </c>
      <c r="F54" s="457">
        <f t="shared" ref="F54" si="25">D54*E54</f>
        <v>342720.00000000006</v>
      </c>
      <c r="G54" s="900"/>
      <c r="H54" s="455">
        <f>$F$54*H43</f>
        <v>3769920.0000000005</v>
      </c>
      <c r="I54" s="454">
        <f t="shared" ref="I54:AK54" si="26">$F$54*I43</f>
        <v>3769920.0000000005</v>
      </c>
      <c r="J54" s="454">
        <f t="shared" si="26"/>
        <v>3769920.0000000005</v>
      </c>
      <c r="K54" s="454">
        <f t="shared" si="26"/>
        <v>3769920.0000000005</v>
      </c>
      <c r="L54" s="454">
        <f t="shared" si="26"/>
        <v>3769920.0000000005</v>
      </c>
      <c r="M54" s="454">
        <f t="shared" si="26"/>
        <v>3769920.0000000005</v>
      </c>
      <c r="N54" s="454">
        <f t="shared" si="26"/>
        <v>3769920.0000000005</v>
      </c>
      <c r="O54" s="454">
        <f t="shared" si="26"/>
        <v>3769920.0000000005</v>
      </c>
      <c r="P54" s="454">
        <f t="shared" si="26"/>
        <v>3769920.0000000005</v>
      </c>
      <c r="Q54" s="454">
        <f t="shared" si="26"/>
        <v>3769920.0000000005</v>
      </c>
      <c r="R54" s="454">
        <f t="shared" si="26"/>
        <v>3769920.0000000005</v>
      </c>
      <c r="S54" s="454">
        <f t="shared" si="26"/>
        <v>3769920.0000000005</v>
      </c>
      <c r="T54" s="454">
        <f t="shared" si="26"/>
        <v>3769920.0000000005</v>
      </c>
      <c r="U54" s="454">
        <f t="shared" si="26"/>
        <v>3769920.0000000005</v>
      </c>
      <c r="V54" s="454">
        <f t="shared" si="26"/>
        <v>3769920.0000000005</v>
      </c>
      <c r="W54" s="454">
        <f t="shared" si="26"/>
        <v>3769920.0000000005</v>
      </c>
      <c r="X54" s="454">
        <f t="shared" si="26"/>
        <v>3769920.0000000005</v>
      </c>
      <c r="Y54" s="454">
        <f t="shared" si="26"/>
        <v>3769920.0000000005</v>
      </c>
      <c r="Z54" s="454">
        <f t="shared" si="26"/>
        <v>3769920.0000000005</v>
      </c>
      <c r="AA54" s="454">
        <f t="shared" si="26"/>
        <v>3769920.0000000005</v>
      </c>
      <c r="AB54" s="454">
        <f t="shared" si="26"/>
        <v>3769920.0000000005</v>
      </c>
      <c r="AC54" s="454">
        <f t="shared" si="26"/>
        <v>3769920.0000000005</v>
      </c>
      <c r="AD54" s="454">
        <f t="shared" si="26"/>
        <v>3769920.0000000005</v>
      </c>
      <c r="AE54" s="454">
        <f t="shared" si="26"/>
        <v>3769920.0000000005</v>
      </c>
      <c r="AF54" s="454">
        <f t="shared" si="26"/>
        <v>3769920.0000000005</v>
      </c>
      <c r="AG54" s="454">
        <f t="shared" si="26"/>
        <v>3769920.0000000005</v>
      </c>
      <c r="AH54" s="454">
        <f t="shared" si="26"/>
        <v>3769920.0000000005</v>
      </c>
      <c r="AI54" s="454">
        <f t="shared" si="26"/>
        <v>3769920.0000000005</v>
      </c>
      <c r="AJ54" s="454">
        <f t="shared" si="26"/>
        <v>3769920.0000000005</v>
      </c>
      <c r="AK54" s="453">
        <f t="shared" si="26"/>
        <v>3769920.0000000005</v>
      </c>
    </row>
    <row r="55" spans="1:60" ht="13.5" thickBot="1">
      <c r="A55" s="452"/>
      <c r="B55" s="451" t="s">
        <v>517</v>
      </c>
      <c r="C55" s="450" t="s">
        <v>276</v>
      </c>
      <c r="D55" s="449"/>
      <c r="E55" s="448"/>
      <c r="F55" s="447"/>
      <c r="G55" s="901"/>
      <c r="H55" s="446"/>
      <c r="I55" s="445"/>
      <c r="J55" s="445"/>
      <c r="K55" s="445"/>
      <c r="L55" s="445"/>
      <c r="M55" s="445"/>
      <c r="N55" s="445"/>
      <c r="O55" s="445"/>
      <c r="P55" s="445"/>
      <c r="Q55" s="445"/>
      <c r="R55" s="445"/>
      <c r="S55" s="445"/>
      <c r="T55" s="445"/>
      <c r="U55" s="445"/>
      <c r="V55" s="445"/>
      <c r="W55" s="445"/>
      <c r="X55" s="445"/>
      <c r="Y55" s="445"/>
      <c r="Z55" s="445"/>
      <c r="AA55" s="445"/>
      <c r="AB55" s="445"/>
      <c r="AC55" s="445"/>
      <c r="AD55" s="445"/>
      <c r="AE55" s="445"/>
      <c r="AF55" s="445"/>
      <c r="AG55" s="445"/>
      <c r="AH55" s="445"/>
      <c r="AI55" s="445"/>
      <c r="AJ55" s="445"/>
      <c r="AK55" s="444"/>
    </row>
    <row r="56" spans="1:60">
      <c r="H56" s="443"/>
    </row>
    <row r="57" spans="1:60">
      <c r="H57" s="443"/>
      <c r="I57" s="443"/>
    </row>
    <row r="58" spans="1:60">
      <c r="A58" s="432"/>
      <c r="B58" s="432"/>
      <c r="C58" s="436"/>
      <c r="D58" s="436" t="s">
        <v>10</v>
      </c>
      <c r="E58" s="436"/>
      <c r="F58" s="436"/>
      <c r="G58" s="436"/>
      <c r="H58" s="436"/>
      <c r="I58" s="436"/>
      <c r="J58" s="436"/>
      <c r="K58" s="436"/>
      <c r="L58" s="436"/>
      <c r="M58" s="436"/>
      <c r="N58" s="436"/>
      <c r="O58" s="436"/>
      <c r="P58" s="436"/>
      <c r="Q58" s="436"/>
      <c r="R58" s="436"/>
      <c r="S58" s="436"/>
      <c r="T58" s="436"/>
      <c r="U58" s="436"/>
      <c r="V58" s="436"/>
      <c r="W58" s="436"/>
      <c r="X58" s="436"/>
      <c r="Y58" s="436"/>
      <c r="Z58" s="436"/>
      <c r="AA58" s="436"/>
      <c r="AB58" s="436"/>
      <c r="AC58" s="436"/>
      <c r="AD58" s="436"/>
      <c r="AE58" s="436"/>
      <c r="AF58" s="436"/>
      <c r="AG58" s="436"/>
      <c r="AO58" s="429"/>
    </row>
    <row r="59" spans="1:60">
      <c r="A59" s="432"/>
      <c r="B59" s="438" t="s">
        <v>57</v>
      </c>
      <c r="C59" s="438"/>
      <c r="D59" s="442">
        <v>1</v>
      </c>
      <c r="E59" s="442">
        <v>2</v>
      </c>
      <c r="F59" s="442">
        <v>3</v>
      </c>
      <c r="G59" s="442">
        <v>4</v>
      </c>
      <c r="H59" s="442">
        <v>5</v>
      </c>
      <c r="I59" s="442">
        <v>6</v>
      </c>
      <c r="J59" s="442">
        <v>7</v>
      </c>
      <c r="K59" s="442">
        <v>8</v>
      </c>
      <c r="L59" s="442">
        <v>9</v>
      </c>
      <c r="M59" s="442">
        <v>10</v>
      </c>
      <c r="N59" s="442">
        <v>11</v>
      </c>
      <c r="O59" s="442">
        <v>12</v>
      </c>
      <c r="P59" s="442">
        <v>13</v>
      </c>
      <c r="Q59" s="442">
        <v>14</v>
      </c>
      <c r="R59" s="442">
        <v>15</v>
      </c>
      <c r="S59" s="442">
        <v>16</v>
      </c>
      <c r="T59" s="442">
        <v>17</v>
      </c>
      <c r="U59" s="442">
        <v>18</v>
      </c>
      <c r="V59" s="442">
        <v>19</v>
      </c>
      <c r="W59" s="442">
        <v>20</v>
      </c>
      <c r="X59" s="442">
        <v>21</v>
      </c>
      <c r="Y59" s="442">
        <v>22</v>
      </c>
      <c r="Z59" s="442">
        <v>23</v>
      </c>
      <c r="AA59" s="442">
        <v>24</v>
      </c>
      <c r="AB59" s="442">
        <v>25</v>
      </c>
      <c r="AC59" s="442">
        <v>26</v>
      </c>
      <c r="AD59" s="442">
        <v>27</v>
      </c>
      <c r="AE59" s="442">
        <v>28</v>
      </c>
      <c r="AF59" s="442">
        <v>29</v>
      </c>
      <c r="AG59" s="442">
        <v>30</v>
      </c>
    </row>
    <row r="60" spans="1:60">
      <c r="A60" s="432"/>
      <c r="B60" s="441" t="s">
        <v>32</v>
      </c>
      <c r="C60" s="441" t="s">
        <v>9</v>
      </c>
      <c r="D60" s="440">
        <v>2023</v>
      </c>
      <c r="E60" s="440">
        <f>$D$60+D59</f>
        <v>2024</v>
      </c>
      <c r="F60" s="440">
        <f t="shared" ref="F60:AG60" si="27">$D$60+E59</f>
        <v>2025</v>
      </c>
      <c r="G60" s="440">
        <f t="shared" si="27"/>
        <v>2026</v>
      </c>
      <c r="H60" s="440">
        <f t="shared" si="27"/>
        <v>2027</v>
      </c>
      <c r="I60" s="440">
        <f t="shared" si="27"/>
        <v>2028</v>
      </c>
      <c r="J60" s="440">
        <f t="shared" si="27"/>
        <v>2029</v>
      </c>
      <c r="K60" s="440">
        <f t="shared" si="27"/>
        <v>2030</v>
      </c>
      <c r="L60" s="440">
        <f t="shared" si="27"/>
        <v>2031</v>
      </c>
      <c r="M60" s="440">
        <f t="shared" si="27"/>
        <v>2032</v>
      </c>
      <c r="N60" s="440">
        <f t="shared" si="27"/>
        <v>2033</v>
      </c>
      <c r="O60" s="440">
        <f t="shared" si="27"/>
        <v>2034</v>
      </c>
      <c r="P60" s="440">
        <f t="shared" si="27"/>
        <v>2035</v>
      </c>
      <c r="Q60" s="440">
        <f t="shared" si="27"/>
        <v>2036</v>
      </c>
      <c r="R60" s="440">
        <f t="shared" si="27"/>
        <v>2037</v>
      </c>
      <c r="S60" s="440">
        <f t="shared" si="27"/>
        <v>2038</v>
      </c>
      <c r="T60" s="440">
        <f t="shared" si="27"/>
        <v>2039</v>
      </c>
      <c r="U60" s="440">
        <f t="shared" si="27"/>
        <v>2040</v>
      </c>
      <c r="V60" s="440">
        <f t="shared" si="27"/>
        <v>2041</v>
      </c>
      <c r="W60" s="440">
        <f t="shared" si="27"/>
        <v>2042</v>
      </c>
      <c r="X60" s="440">
        <f t="shared" si="27"/>
        <v>2043</v>
      </c>
      <c r="Y60" s="440">
        <f t="shared" si="27"/>
        <v>2044</v>
      </c>
      <c r="Z60" s="440">
        <f t="shared" si="27"/>
        <v>2045</v>
      </c>
      <c r="AA60" s="440">
        <f t="shared" si="27"/>
        <v>2046</v>
      </c>
      <c r="AB60" s="440">
        <f t="shared" si="27"/>
        <v>2047</v>
      </c>
      <c r="AC60" s="440">
        <f t="shared" si="27"/>
        <v>2048</v>
      </c>
      <c r="AD60" s="440">
        <f t="shared" si="27"/>
        <v>2049</v>
      </c>
      <c r="AE60" s="440">
        <f t="shared" si="27"/>
        <v>2050</v>
      </c>
      <c r="AF60" s="440">
        <f t="shared" si="27"/>
        <v>2051</v>
      </c>
      <c r="AG60" s="440">
        <f t="shared" si="27"/>
        <v>2052</v>
      </c>
    </row>
    <row r="61" spans="1:60">
      <c r="A61" s="432"/>
      <c r="B61" s="436" t="s">
        <v>353</v>
      </c>
      <c r="C61" s="439">
        <f t="shared" ref="C61:C66" si="28">SUM(D61:AG61)</f>
        <v>2590475400</v>
      </c>
      <c r="D61" s="435">
        <f>H13+H15+H17+H18+H19+H20+H31+H33+H35+H36+H37+H45+H47+H50+H51+H52</f>
        <v>86349180</v>
      </c>
      <c r="E61" s="435">
        <f t="shared" ref="E61:AG61" si="29">I13+I15+I17+I18+I19+I20+I31+I33+I35+I36+I37+I45+I47+I50+I51+I52</f>
        <v>86349180</v>
      </c>
      <c r="F61" s="435">
        <f t="shared" si="29"/>
        <v>86349180</v>
      </c>
      <c r="G61" s="435">
        <f t="shared" si="29"/>
        <v>86349180</v>
      </c>
      <c r="H61" s="435">
        <f t="shared" si="29"/>
        <v>86349180</v>
      </c>
      <c r="I61" s="435">
        <f t="shared" si="29"/>
        <v>86349180</v>
      </c>
      <c r="J61" s="435">
        <f t="shared" si="29"/>
        <v>86349180</v>
      </c>
      <c r="K61" s="435">
        <f t="shared" si="29"/>
        <v>86349180</v>
      </c>
      <c r="L61" s="435">
        <f t="shared" si="29"/>
        <v>86349180</v>
      </c>
      <c r="M61" s="435">
        <f t="shared" si="29"/>
        <v>86349180</v>
      </c>
      <c r="N61" s="435">
        <f t="shared" si="29"/>
        <v>86349180</v>
      </c>
      <c r="O61" s="435">
        <f t="shared" si="29"/>
        <v>86349180</v>
      </c>
      <c r="P61" s="435">
        <f t="shared" si="29"/>
        <v>86349180</v>
      </c>
      <c r="Q61" s="435">
        <f t="shared" si="29"/>
        <v>86349180</v>
      </c>
      <c r="R61" s="435">
        <f t="shared" si="29"/>
        <v>86349180</v>
      </c>
      <c r="S61" s="435">
        <f t="shared" si="29"/>
        <v>86349180</v>
      </c>
      <c r="T61" s="435">
        <f t="shared" si="29"/>
        <v>86349180</v>
      </c>
      <c r="U61" s="435">
        <f t="shared" si="29"/>
        <v>86349180</v>
      </c>
      <c r="V61" s="435">
        <f t="shared" si="29"/>
        <v>86349180</v>
      </c>
      <c r="W61" s="435">
        <f t="shared" si="29"/>
        <v>86349180</v>
      </c>
      <c r="X61" s="435">
        <f t="shared" si="29"/>
        <v>86349180</v>
      </c>
      <c r="Y61" s="435">
        <f t="shared" si="29"/>
        <v>86349180</v>
      </c>
      <c r="Z61" s="435">
        <f t="shared" si="29"/>
        <v>86349180</v>
      </c>
      <c r="AA61" s="435">
        <f t="shared" si="29"/>
        <v>86349180</v>
      </c>
      <c r="AB61" s="435">
        <f t="shared" si="29"/>
        <v>86349180</v>
      </c>
      <c r="AC61" s="435">
        <f t="shared" si="29"/>
        <v>86349180</v>
      </c>
      <c r="AD61" s="435">
        <f t="shared" si="29"/>
        <v>86349180</v>
      </c>
      <c r="AE61" s="435">
        <f t="shared" si="29"/>
        <v>86349180</v>
      </c>
      <c r="AF61" s="435">
        <f t="shared" si="29"/>
        <v>86349180</v>
      </c>
      <c r="AG61" s="435">
        <f t="shared" si="29"/>
        <v>86349180</v>
      </c>
    </row>
    <row r="62" spans="1:60">
      <c r="A62" s="432"/>
      <c r="B62" s="436" t="s">
        <v>351</v>
      </c>
      <c r="C62" s="439">
        <f t="shared" si="28"/>
        <v>506500000</v>
      </c>
      <c r="D62" s="435">
        <v>0</v>
      </c>
      <c r="E62" s="435">
        <v>0</v>
      </c>
      <c r="F62" s="435">
        <v>0</v>
      </c>
      <c r="G62" s="435">
        <v>67000000</v>
      </c>
      <c r="H62" s="435">
        <v>111500000</v>
      </c>
      <c r="I62" s="435">
        <v>111500000</v>
      </c>
      <c r="J62" s="435">
        <v>111500000</v>
      </c>
      <c r="K62" s="435">
        <v>0</v>
      </c>
      <c r="L62" s="435">
        <v>0</v>
      </c>
      <c r="M62" s="435">
        <v>0</v>
      </c>
      <c r="N62" s="435">
        <v>0</v>
      </c>
      <c r="O62" s="435">
        <v>0</v>
      </c>
      <c r="P62" s="435">
        <v>0</v>
      </c>
      <c r="Q62" s="435">
        <v>0</v>
      </c>
      <c r="R62" s="435">
        <v>0</v>
      </c>
      <c r="S62" s="435">
        <v>0</v>
      </c>
      <c r="T62" s="435">
        <v>0</v>
      </c>
      <c r="U62" s="435">
        <v>0</v>
      </c>
      <c r="V62" s="435">
        <v>18000000</v>
      </c>
      <c r="W62" s="435">
        <v>29000000</v>
      </c>
      <c r="X62" s="435">
        <v>29000000</v>
      </c>
      <c r="Y62" s="435">
        <v>29000000</v>
      </c>
      <c r="Z62" s="435">
        <v>0</v>
      </c>
      <c r="AA62" s="435">
        <v>0</v>
      </c>
      <c r="AB62" s="435">
        <v>0</v>
      </c>
      <c r="AC62" s="435">
        <v>0</v>
      </c>
      <c r="AD62" s="435">
        <v>0</v>
      </c>
      <c r="AE62" s="435">
        <v>0</v>
      </c>
      <c r="AF62" s="435">
        <v>0</v>
      </c>
      <c r="AG62" s="435">
        <v>0</v>
      </c>
    </row>
    <row r="63" spans="1:60">
      <c r="A63" s="432"/>
      <c r="B63" s="438" t="s">
        <v>350</v>
      </c>
      <c r="C63" s="437">
        <f t="shared" si="28"/>
        <v>3096975400</v>
      </c>
      <c r="D63" s="437">
        <f t="shared" ref="D63:AG63" si="30">SUM(D61:D62)</f>
        <v>86349180</v>
      </c>
      <c r="E63" s="437">
        <f t="shared" si="30"/>
        <v>86349180</v>
      </c>
      <c r="F63" s="437">
        <f t="shared" si="30"/>
        <v>86349180</v>
      </c>
      <c r="G63" s="437">
        <f t="shared" si="30"/>
        <v>153349180</v>
      </c>
      <c r="H63" s="437">
        <f t="shared" si="30"/>
        <v>197849180</v>
      </c>
      <c r="I63" s="437">
        <f t="shared" si="30"/>
        <v>197849180</v>
      </c>
      <c r="J63" s="437">
        <f t="shared" si="30"/>
        <v>197849180</v>
      </c>
      <c r="K63" s="437">
        <f t="shared" si="30"/>
        <v>86349180</v>
      </c>
      <c r="L63" s="437">
        <f t="shared" si="30"/>
        <v>86349180</v>
      </c>
      <c r="M63" s="437">
        <f t="shared" si="30"/>
        <v>86349180</v>
      </c>
      <c r="N63" s="437">
        <f t="shared" si="30"/>
        <v>86349180</v>
      </c>
      <c r="O63" s="437">
        <f t="shared" si="30"/>
        <v>86349180</v>
      </c>
      <c r="P63" s="437">
        <f t="shared" si="30"/>
        <v>86349180</v>
      </c>
      <c r="Q63" s="437">
        <f t="shared" si="30"/>
        <v>86349180</v>
      </c>
      <c r="R63" s="437">
        <f t="shared" si="30"/>
        <v>86349180</v>
      </c>
      <c r="S63" s="437">
        <f t="shared" si="30"/>
        <v>86349180</v>
      </c>
      <c r="T63" s="437">
        <f t="shared" si="30"/>
        <v>86349180</v>
      </c>
      <c r="U63" s="437">
        <f t="shared" si="30"/>
        <v>86349180</v>
      </c>
      <c r="V63" s="437">
        <f t="shared" si="30"/>
        <v>104349180</v>
      </c>
      <c r="W63" s="437">
        <f t="shared" si="30"/>
        <v>115349180</v>
      </c>
      <c r="X63" s="437">
        <f t="shared" si="30"/>
        <v>115349180</v>
      </c>
      <c r="Y63" s="437">
        <f t="shared" si="30"/>
        <v>115349180</v>
      </c>
      <c r="Z63" s="437">
        <f t="shared" si="30"/>
        <v>86349180</v>
      </c>
      <c r="AA63" s="437">
        <f t="shared" si="30"/>
        <v>86349180</v>
      </c>
      <c r="AB63" s="437">
        <f t="shared" si="30"/>
        <v>86349180</v>
      </c>
      <c r="AC63" s="437">
        <f t="shared" si="30"/>
        <v>86349180</v>
      </c>
      <c r="AD63" s="437">
        <f t="shared" si="30"/>
        <v>86349180</v>
      </c>
      <c r="AE63" s="437">
        <f t="shared" si="30"/>
        <v>86349180</v>
      </c>
      <c r="AF63" s="437">
        <f t="shared" si="30"/>
        <v>86349180</v>
      </c>
      <c r="AG63" s="437">
        <f t="shared" si="30"/>
        <v>86349180</v>
      </c>
    </row>
    <row r="64" spans="1:60">
      <c r="A64" s="432"/>
      <c r="B64" s="436" t="s">
        <v>56</v>
      </c>
      <c r="C64" s="432"/>
      <c r="D64" s="435">
        <f>H22+H39+H54</f>
        <v>5106280</v>
      </c>
      <c r="E64" s="435">
        <f t="shared" ref="E64:AG64" si="31">I22+I39+I54</f>
        <v>5106280</v>
      </c>
      <c r="F64" s="435">
        <f t="shared" si="31"/>
        <v>5106280</v>
      </c>
      <c r="G64" s="435">
        <f t="shared" si="31"/>
        <v>5106280</v>
      </c>
      <c r="H64" s="435">
        <f t="shared" si="31"/>
        <v>5106280</v>
      </c>
      <c r="I64" s="435">
        <f t="shared" si="31"/>
        <v>5106280</v>
      </c>
      <c r="J64" s="435">
        <f t="shared" si="31"/>
        <v>5106280</v>
      </c>
      <c r="K64" s="435">
        <f t="shared" si="31"/>
        <v>5106280</v>
      </c>
      <c r="L64" s="435">
        <f t="shared" si="31"/>
        <v>5106280</v>
      </c>
      <c r="M64" s="435">
        <f t="shared" si="31"/>
        <v>5106280</v>
      </c>
      <c r="N64" s="435">
        <f t="shared" si="31"/>
        <v>5106280</v>
      </c>
      <c r="O64" s="435">
        <f t="shared" si="31"/>
        <v>5106280</v>
      </c>
      <c r="P64" s="435">
        <f t="shared" si="31"/>
        <v>5106280</v>
      </c>
      <c r="Q64" s="435">
        <f t="shared" si="31"/>
        <v>5106280</v>
      </c>
      <c r="R64" s="435">
        <f t="shared" si="31"/>
        <v>5106280</v>
      </c>
      <c r="S64" s="435">
        <f t="shared" si="31"/>
        <v>5106280</v>
      </c>
      <c r="T64" s="435">
        <f t="shared" si="31"/>
        <v>5106280</v>
      </c>
      <c r="U64" s="435">
        <f t="shared" si="31"/>
        <v>5106280</v>
      </c>
      <c r="V64" s="435">
        <f t="shared" si="31"/>
        <v>5106280</v>
      </c>
      <c r="W64" s="435">
        <f t="shared" si="31"/>
        <v>5106280</v>
      </c>
      <c r="X64" s="435">
        <f t="shared" si="31"/>
        <v>5106280</v>
      </c>
      <c r="Y64" s="435">
        <f t="shared" si="31"/>
        <v>5106280</v>
      </c>
      <c r="Z64" s="435">
        <f t="shared" si="31"/>
        <v>5106280</v>
      </c>
      <c r="AA64" s="435">
        <f t="shared" si="31"/>
        <v>5106280</v>
      </c>
      <c r="AB64" s="435">
        <f t="shared" si="31"/>
        <v>5106280</v>
      </c>
      <c r="AC64" s="435">
        <f t="shared" si="31"/>
        <v>5106280</v>
      </c>
      <c r="AD64" s="435">
        <f t="shared" si="31"/>
        <v>5106280</v>
      </c>
      <c r="AE64" s="435">
        <f t="shared" si="31"/>
        <v>5106280</v>
      </c>
      <c r="AF64" s="435">
        <f t="shared" si="31"/>
        <v>5106280</v>
      </c>
      <c r="AG64" s="435">
        <f t="shared" si="31"/>
        <v>5106280</v>
      </c>
    </row>
    <row r="65" spans="1:77" ht="13.5" thickBot="1">
      <c r="A65" s="432"/>
      <c r="B65" s="434" t="s">
        <v>54</v>
      </c>
      <c r="C65" s="433">
        <f>SUM(D65:AG65)</f>
        <v>153188400</v>
      </c>
      <c r="D65" s="433">
        <f t="shared" ref="D65:AG65" si="32">SUM(D64:D64)</f>
        <v>5106280</v>
      </c>
      <c r="E65" s="433">
        <f t="shared" si="32"/>
        <v>5106280</v>
      </c>
      <c r="F65" s="433">
        <f t="shared" si="32"/>
        <v>5106280</v>
      </c>
      <c r="G65" s="433">
        <f t="shared" si="32"/>
        <v>5106280</v>
      </c>
      <c r="H65" s="433">
        <f t="shared" si="32"/>
        <v>5106280</v>
      </c>
      <c r="I65" s="433">
        <f t="shared" si="32"/>
        <v>5106280</v>
      </c>
      <c r="J65" s="433">
        <f t="shared" si="32"/>
        <v>5106280</v>
      </c>
      <c r="K65" s="433">
        <f t="shared" si="32"/>
        <v>5106280</v>
      </c>
      <c r="L65" s="433">
        <f t="shared" si="32"/>
        <v>5106280</v>
      </c>
      <c r="M65" s="433">
        <f t="shared" si="32"/>
        <v>5106280</v>
      </c>
      <c r="N65" s="433">
        <f t="shared" si="32"/>
        <v>5106280</v>
      </c>
      <c r="O65" s="433">
        <f t="shared" si="32"/>
        <v>5106280</v>
      </c>
      <c r="P65" s="433">
        <f t="shared" si="32"/>
        <v>5106280</v>
      </c>
      <c r="Q65" s="433">
        <f t="shared" si="32"/>
        <v>5106280</v>
      </c>
      <c r="R65" s="433">
        <f t="shared" si="32"/>
        <v>5106280</v>
      </c>
      <c r="S65" s="433">
        <f t="shared" si="32"/>
        <v>5106280</v>
      </c>
      <c r="T65" s="433">
        <f t="shared" si="32"/>
        <v>5106280</v>
      </c>
      <c r="U65" s="433">
        <f t="shared" si="32"/>
        <v>5106280</v>
      </c>
      <c r="V65" s="433">
        <f t="shared" si="32"/>
        <v>5106280</v>
      </c>
      <c r="W65" s="433">
        <f t="shared" si="32"/>
        <v>5106280</v>
      </c>
      <c r="X65" s="433">
        <f t="shared" si="32"/>
        <v>5106280</v>
      </c>
      <c r="Y65" s="433">
        <f t="shared" si="32"/>
        <v>5106280</v>
      </c>
      <c r="Z65" s="433">
        <f t="shared" si="32"/>
        <v>5106280</v>
      </c>
      <c r="AA65" s="433">
        <f t="shared" si="32"/>
        <v>5106280</v>
      </c>
      <c r="AB65" s="433">
        <f t="shared" si="32"/>
        <v>5106280</v>
      </c>
      <c r="AC65" s="433">
        <f t="shared" si="32"/>
        <v>5106280</v>
      </c>
      <c r="AD65" s="433">
        <f t="shared" si="32"/>
        <v>5106280</v>
      </c>
      <c r="AE65" s="433">
        <f t="shared" si="32"/>
        <v>5106280</v>
      </c>
      <c r="AF65" s="433">
        <f t="shared" si="32"/>
        <v>5106280</v>
      </c>
      <c r="AG65" s="433">
        <f t="shared" si="32"/>
        <v>5106280</v>
      </c>
    </row>
    <row r="66" spans="1:77" ht="13.5" thickTop="1">
      <c r="A66" s="432"/>
      <c r="B66" s="431" t="s">
        <v>53</v>
      </c>
      <c r="C66" s="430">
        <f t="shared" si="28"/>
        <v>3250163800</v>
      </c>
      <c r="D66" s="430">
        <f t="shared" ref="D66:AG66" si="33">SUM(D63,D65)</f>
        <v>91455460</v>
      </c>
      <c r="E66" s="430">
        <f t="shared" si="33"/>
        <v>91455460</v>
      </c>
      <c r="F66" s="430">
        <f t="shared" si="33"/>
        <v>91455460</v>
      </c>
      <c r="G66" s="430">
        <f t="shared" si="33"/>
        <v>158455460</v>
      </c>
      <c r="H66" s="430">
        <f t="shared" si="33"/>
        <v>202955460</v>
      </c>
      <c r="I66" s="430">
        <f t="shared" si="33"/>
        <v>202955460</v>
      </c>
      <c r="J66" s="430">
        <f t="shared" si="33"/>
        <v>202955460</v>
      </c>
      <c r="K66" s="430">
        <f t="shared" si="33"/>
        <v>91455460</v>
      </c>
      <c r="L66" s="430">
        <f t="shared" si="33"/>
        <v>91455460</v>
      </c>
      <c r="M66" s="430">
        <f t="shared" si="33"/>
        <v>91455460</v>
      </c>
      <c r="N66" s="430">
        <f t="shared" si="33"/>
        <v>91455460</v>
      </c>
      <c r="O66" s="430">
        <f t="shared" si="33"/>
        <v>91455460</v>
      </c>
      <c r="P66" s="430">
        <f t="shared" si="33"/>
        <v>91455460</v>
      </c>
      <c r="Q66" s="430">
        <f t="shared" si="33"/>
        <v>91455460</v>
      </c>
      <c r="R66" s="430">
        <f t="shared" si="33"/>
        <v>91455460</v>
      </c>
      <c r="S66" s="430">
        <f t="shared" si="33"/>
        <v>91455460</v>
      </c>
      <c r="T66" s="430">
        <f t="shared" si="33"/>
        <v>91455460</v>
      </c>
      <c r="U66" s="430">
        <f t="shared" si="33"/>
        <v>91455460</v>
      </c>
      <c r="V66" s="430">
        <f t="shared" si="33"/>
        <v>109455460</v>
      </c>
      <c r="W66" s="430">
        <f t="shared" si="33"/>
        <v>120455460</v>
      </c>
      <c r="X66" s="430">
        <f t="shared" si="33"/>
        <v>120455460</v>
      </c>
      <c r="Y66" s="430">
        <f t="shared" si="33"/>
        <v>120455460</v>
      </c>
      <c r="Z66" s="430">
        <f t="shared" si="33"/>
        <v>91455460</v>
      </c>
      <c r="AA66" s="430">
        <f t="shared" si="33"/>
        <v>91455460</v>
      </c>
      <c r="AB66" s="430">
        <f t="shared" si="33"/>
        <v>91455460</v>
      </c>
      <c r="AC66" s="430">
        <f t="shared" si="33"/>
        <v>91455460</v>
      </c>
      <c r="AD66" s="430">
        <f t="shared" si="33"/>
        <v>91455460</v>
      </c>
      <c r="AE66" s="430">
        <f t="shared" si="33"/>
        <v>91455460</v>
      </c>
      <c r="AF66" s="430">
        <f t="shared" si="33"/>
        <v>91455460</v>
      </c>
      <c r="AG66" s="430">
        <f t="shared" si="33"/>
        <v>91455460</v>
      </c>
    </row>
    <row r="68" spans="1:77" s="429" customFormat="1">
      <c r="A68" s="428"/>
      <c r="B68" s="428"/>
      <c r="C68" s="428"/>
      <c r="D68" s="428"/>
      <c r="E68" s="428"/>
      <c r="F68" s="428"/>
      <c r="G68" s="428"/>
      <c r="H68" s="428"/>
      <c r="I68" s="428"/>
      <c r="J68" s="428"/>
      <c r="K68" s="428"/>
      <c r="L68" s="428"/>
      <c r="M68" s="428"/>
      <c r="N68" s="428"/>
      <c r="O68" s="428"/>
      <c r="P68" s="428"/>
      <c r="Q68" s="428"/>
      <c r="R68" s="428"/>
      <c r="S68" s="428"/>
      <c r="T68" s="428"/>
      <c r="U68" s="428"/>
      <c r="V68" s="428"/>
      <c r="W68" s="428"/>
      <c r="X68" s="428"/>
      <c r="Y68" s="428"/>
      <c r="Z68" s="428"/>
      <c r="AA68" s="428"/>
      <c r="AB68" s="428"/>
      <c r="AC68" s="428"/>
      <c r="AD68" s="428"/>
      <c r="AE68" s="428"/>
      <c r="AF68" s="428"/>
      <c r="AG68" s="428"/>
      <c r="AH68" s="428"/>
      <c r="AI68" s="428"/>
      <c r="AJ68" s="428"/>
      <c r="AK68" s="428"/>
      <c r="AL68" s="428"/>
      <c r="AM68" s="428"/>
      <c r="AN68" s="428"/>
      <c r="AO68" s="428"/>
      <c r="AP68" s="428"/>
      <c r="AQ68" s="428"/>
      <c r="AR68" s="428"/>
      <c r="AS68" s="428"/>
      <c r="AT68" s="428"/>
      <c r="AU68" s="428"/>
      <c r="AV68" s="428"/>
      <c r="AW68" s="428"/>
      <c r="AX68" s="428"/>
      <c r="AY68" s="428"/>
      <c r="AZ68" s="428"/>
      <c r="BA68" s="428"/>
      <c r="BB68" s="428"/>
      <c r="BC68" s="428"/>
      <c r="BD68" s="428"/>
      <c r="BE68" s="428"/>
      <c r="BF68" s="428"/>
      <c r="BG68" s="428"/>
      <c r="BH68" s="428"/>
      <c r="BI68" s="428"/>
      <c r="BJ68" s="428"/>
      <c r="BK68" s="428"/>
      <c r="BL68" s="428"/>
      <c r="BM68" s="428"/>
      <c r="BN68" s="428"/>
      <c r="BO68" s="428"/>
      <c r="BP68" s="428"/>
      <c r="BQ68" s="428"/>
      <c r="BR68" s="428"/>
      <c r="BS68" s="428"/>
      <c r="BT68" s="428"/>
      <c r="BU68" s="428"/>
      <c r="BV68" s="428"/>
      <c r="BW68" s="428"/>
      <c r="BX68" s="428"/>
      <c r="BY68" s="428"/>
    </row>
    <row r="75" spans="1:77" s="429" customFormat="1">
      <c r="A75" s="428"/>
      <c r="B75" s="428"/>
      <c r="C75" s="428"/>
      <c r="D75" s="428"/>
      <c r="E75" s="428"/>
      <c r="F75" s="428"/>
      <c r="G75" s="428"/>
      <c r="H75" s="428"/>
      <c r="I75" s="428"/>
      <c r="J75" s="428"/>
      <c r="K75" s="428"/>
      <c r="L75" s="428"/>
      <c r="M75" s="428"/>
      <c r="N75" s="428"/>
      <c r="O75" s="428"/>
      <c r="P75" s="428"/>
      <c r="Q75" s="428"/>
      <c r="R75" s="428"/>
      <c r="S75" s="428"/>
      <c r="T75" s="428"/>
      <c r="U75" s="428"/>
      <c r="V75" s="428"/>
      <c r="W75" s="428"/>
      <c r="X75" s="428"/>
      <c r="Y75" s="428"/>
      <c r="Z75" s="428"/>
      <c r="AA75" s="428"/>
      <c r="AB75" s="428"/>
      <c r="AC75" s="428"/>
      <c r="AD75" s="428"/>
      <c r="AE75" s="428"/>
      <c r="AF75" s="428"/>
      <c r="AG75" s="428"/>
      <c r="AH75" s="428"/>
      <c r="AI75" s="428"/>
      <c r="AJ75" s="428"/>
      <c r="AK75" s="428"/>
      <c r="AL75" s="428"/>
      <c r="AM75" s="428"/>
      <c r="AN75" s="428"/>
      <c r="AO75" s="428"/>
      <c r="AP75" s="428"/>
      <c r="AQ75" s="428"/>
      <c r="AR75" s="428"/>
      <c r="AS75" s="428"/>
      <c r="AT75" s="428"/>
      <c r="AU75" s="428"/>
      <c r="AV75" s="428"/>
      <c r="AW75" s="428"/>
      <c r="AX75" s="428"/>
      <c r="AY75" s="428"/>
      <c r="AZ75" s="428"/>
      <c r="BA75" s="428"/>
      <c r="BB75" s="428"/>
      <c r="BC75" s="428"/>
      <c r="BD75" s="428"/>
      <c r="BE75" s="428"/>
      <c r="BF75" s="428"/>
      <c r="BG75" s="428"/>
      <c r="BH75" s="428"/>
      <c r="BI75" s="428"/>
      <c r="BJ75" s="428"/>
      <c r="BK75" s="428"/>
      <c r="BL75" s="428"/>
      <c r="BM75" s="428"/>
      <c r="BN75" s="428"/>
      <c r="BO75" s="428"/>
      <c r="BP75" s="428"/>
      <c r="BQ75" s="428"/>
      <c r="BR75" s="428"/>
      <c r="BS75" s="428"/>
      <c r="BT75" s="428"/>
      <c r="BU75" s="428"/>
      <c r="BV75" s="428"/>
      <c r="BW75" s="428"/>
      <c r="BX75" s="428"/>
      <c r="BY75" s="428"/>
    </row>
    <row r="90" spans="1:61">
      <c r="AP90" s="429"/>
      <c r="AQ90" s="429"/>
      <c r="AR90" s="429"/>
      <c r="AS90" s="429"/>
      <c r="AT90" s="429"/>
      <c r="AU90" s="429"/>
      <c r="AV90" s="429"/>
      <c r="AW90" s="429"/>
      <c r="AX90" s="429"/>
      <c r="AY90" s="429"/>
      <c r="AZ90" s="429"/>
      <c r="BA90" s="429"/>
      <c r="BB90" s="429"/>
      <c r="BC90" s="429"/>
      <c r="BD90" s="429"/>
      <c r="BE90" s="429"/>
      <c r="BF90" s="429"/>
      <c r="BG90" s="429"/>
      <c r="BH90" s="429"/>
      <c r="BI90" s="429"/>
    </row>
    <row r="91" spans="1:61" s="429" customFormat="1">
      <c r="A91" s="428"/>
      <c r="B91" s="428"/>
      <c r="C91" s="428"/>
      <c r="D91" s="428"/>
      <c r="E91" s="428"/>
      <c r="F91" s="428"/>
      <c r="G91" s="428"/>
      <c r="H91" s="428"/>
      <c r="I91" s="428"/>
      <c r="J91" s="428"/>
      <c r="K91" s="428"/>
      <c r="L91" s="428"/>
      <c r="M91" s="428"/>
      <c r="N91" s="428"/>
      <c r="O91" s="428"/>
      <c r="P91" s="428"/>
      <c r="Q91" s="428"/>
      <c r="R91" s="428"/>
      <c r="S91" s="428"/>
      <c r="T91" s="428"/>
      <c r="U91" s="428"/>
      <c r="V91" s="428"/>
      <c r="W91" s="428"/>
      <c r="X91" s="428"/>
      <c r="Y91" s="428"/>
      <c r="Z91" s="428"/>
      <c r="AA91" s="428"/>
      <c r="AB91" s="428"/>
      <c r="AC91" s="428"/>
      <c r="AD91" s="428"/>
      <c r="AE91" s="428"/>
      <c r="AF91" s="428"/>
      <c r="AG91" s="428"/>
      <c r="AH91" s="428"/>
      <c r="AI91" s="428"/>
      <c r="AJ91" s="428"/>
      <c r="AK91" s="428"/>
      <c r="AL91" s="428"/>
      <c r="AM91" s="428"/>
      <c r="AN91" s="428"/>
      <c r="AO91" s="428"/>
      <c r="AP91" s="428"/>
      <c r="AQ91" s="428"/>
      <c r="AR91" s="428"/>
      <c r="AS91" s="428"/>
      <c r="AT91" s="428"/>
      <c r="AU91" s="428"/>
      <c r="AV91" s="428"/>
      <c r="AW91" s="428"/>
      <c r="AX91" s="428"/>
      <c r="AY91" s="428"/>
      <c r="AZ91" s="428"/>
      <c r="BA91" s="428"/>
      <c r="BB91" s="428"/>
      <c r="BC91" s="428"/>
      <c r="BD91" s="428"/>
      <c r="BE91" s="428"/>
      <c r="BF91" s="428"/>
      <c r="BG91" s="428"/>
      <c r="BH91" s="428"/>
      <c r="BI91" s="428"/>
    </row>
  </sheetData>
  <sheetProtection algorithmName="SHA-512" hashValue="gzyi0zAsVagJTXWpXzkMXZQbhjXUcXR5RKEQUPBnqif2/tWxssiwye1qsBblsLh1W5jr2Jj6lrSZ9sSuSJ4OnA==" saltValue="vMAGsB8HgaUQxkrYxXHJUw==" spinCount="100000" sheet="1" objects="1" scenarios="1"/>
  <mergeCells count="20">
    <mergeCell ref="G29:G39"/>
    <mergeCell ref="B1:AK1"/>
    <mergeCell ref="B2:G4"/>
    <mergeCell ref="B5:G5"/>
    <mergeCell ref="B6:G6"/>
    <mergeCell ref="B7:G7"/>
    <mergeCell ref="B10:B11"/>
    <mergeCell ref="D10:D12"/>
    <mergeCell ref="E10:E12"/>
    <mergeCell ref="F10:F12"/>
    <mergeCell ref="G13:G23"/>
    <mergeCell ref="B26:B27"/>
    <mergeCell ref="D26:D28"/>
    <mergeCell ref="E26:E28"/>
    <mergeCell ref="F26:F28"/>
    <mergeCell ref="B42:B43"/>
    <mergeCell ref="D42:D44"/>
    <mergeCell ref="E42:E44"/>
    <mergeCell ref="F42:F44"/>
    <mergeCell ref="G45:G55"/>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788E4-8F56-4179-B335-194751E73E49}">
  <sheetPr>
    <tabColor theme="0" tint="-0.14999847407452621"/>
  </sheetPr>
  <dimension ref="A1:BY142"/>
  <sheetViews>
    <sheetView workbookViewId="0">
      <selection activeCell="B41" sqref="B41:B42"/>
    </sheetView>
  </sheetViews>
  <sheetFormatPr defaultColWidth="8.85546875" defaultRowHeight="12.75"/>
  <cols>
    <col min="1" max="1" width="1.42578125" style="428" customWidth="1"/>
    <col min="2" max="2" width="32.140625" style="428" bestFit="1" customWidth="1"/>
    <col min="3" max="3" width="11.42578125" style="428" bestFit="1" customWidth="1"/>
    <col min="4" max="4" width="11.140625" style="428" customWidth="1"/>
    <col min="5" max="5" width="10" style="428" customWidth="1"/>
    <col min="6" max="6" width="11.140625" style="428" customWidth="1"/>
    <col min="7" max="7" width="10" style="428" customWidth="1"/>
    <col min="8" max="8" width="10.140625" style="428" bestFit="1" customWidth="1"/>
    <col min="9" max="11" width="9.85546875" style="428" bestFit="1" customWidth="1"/>
    <col min="12" max="12" width="10.140625" style="428" bestFit="1" customWidth="1"/>
    <col min="13" max="37" width="9.85546875" style="428" bestFit="1" customWidth="1"/>
    <col min="38" max="38" width="12.42578125" style="428" bestFit="1" customWidth="1"/>
    <col min="39" max="16384" width="8.85546875" style="428"/>
  </cols>
  <sheetData>
    <row r="1" spans="1:47">
      <c r="B1" s="904"/>
      <c r="C1" s="904"/>
      <c r="D1" s="904"/>
      <c r="E1" s="904"/>
      <c r="F1" s="904"/>
      <c r="G1" s="904"/>
      <c r="H1" s="905"/>
      <c r="I1" s="905"/>
      <c r="J1" s="905"/>
      <c r="K1" s="905"/>
      <c r="L1" s="905"/>
      <c r="M1" s="905"/>
      <c r="N1" s="905"/>
      <c r="O1" s="905"/>
      <c r="P1" s="905"/>
      <c r="Q1" s="905"/>
      <c r="R1" s="905"/>
      <c r="S1" s="905"/>
      <c r="T1" s="905"/>
      <c r="U1" s="905"/>
      <c r="V1" s="905"/>
      <c r="W1" s="905"/>
      <c r="X1" s="905"/>
      <c r="Y1" s="905"/>
      <c r="Z1" s="905"/>
      <c r="AA1" s="905"/>
      <c r="AB1" s="905"/>
      <c r="AC1" s="905"/>
      <c r="AD1" s="905"/>
      <c r="AE1" s="905"/>
      <c r="AF1" s="905"/>
      <c r="AG1" s="905"/>
      <c r="AH1" s="905"/>
      <c r="AI1" s="905"/>
      <c r="AJ1" s="905"/>
      <c r="AK1" s="905"/>
    </row>
    <row r="2" spans="1:47">
      <c r="A2" s="452"/>
      <c r="B2" s="906" t="s">
        <v>546</v>
      </c>
      <c r="C2" s="906"/>
      <c r="D2" s="906"/>
      <c r="E2" s="906"/>
      <c r="F2" s="906"/>
      <c r="G2" s="907"/>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c r="AL2" s="452"/>
      <c r="AM2" s="452"/>
      <c r="AN2" s="452"/>
      <c r="AO2" s="452"/>
      <c r="AP2" s="452"/>
      <c r="AQ2" s="452"/>
      <c r="AR2" s="452"/>
      <c r="AS2" s="452"/>
      <c r="AT2" s="452"/>
      <c r="AU2" s="452"/>
    </row>
    <row r="3" spans="1:47">
      <c r="A3" s="452"/>
      <c r="B3" s="906"/>
      <c r="C3" s="906"/>
      <c r="D3" s="906"/>
      <c r="E3" s="906"/>
      <c r="F3" s="906"/>
      <c r="G3" s="907"/>
      <c r="H3" s="452"/>
      <c r="I3" s="452"/>
      <c r="J3" s="452"/>
      <c r="K3" s="452"/>
      <c r="L3" s="452"/>
      <c r="M3" s="452"/>
      <c r="N3" s="452"/>
      <c r="O3" s="452"/>
      <c r="P3" s="452"/>
      <c r="Q3" s="452"/>
      <c r="R3" s="452"/>
      <c r="S3" s="452"/>
      <c r="T3" s="452"/>
      <c r="U3" s="452"/>
      <c r="V3" s="452"/>
      <c r="W3" s="452"/>
      <c r="X3" s="452"/>
      <c r="Y3" s="452"/>
      <c r="Z3" s="452"/>
      <c r="AA3" s="452"/>
      <c r="AB3" s="452"/>
      <c r="AC3" s="452"/>
      <c r="AD3" s="452"/>
      <c r="AE3" s="452"/>
      <c r="AF3" s="452"/>
      <c r="AG3" s="452"/>
      <c r="AH3" s="452"/>
      <c r="AI3" s="452"/>
      <c r="AJ3" s="452"/>
      <c r="AK3" s="452"/>
      <c r="AL3" s="452"/>
      <c r="AM3" s="452"/>
      <c r="AN3" s="452"/>
      <c r="AO3" s="452"/>
      <c r="AP3" s="452"/>
      <c r="AQ3" s="452"/>
      <c r="AR3" s="452"/>
      <c r="AS3" s="452"/>
      <c r="AT3" s="452"/>
      <c r="AU3" s="452"/>
    </row>
    <row r="4" spans="1:47" s="429" customFormat="1">
      <c r="A4" s="485"/>
      <c r="B4" s="906"/>
      <c r="C4" s="906"/>
      <c r="D4" s="906"/>
      <c r="E4" s="906"/>
      <c r="F4" s="906"/>
      <c r="G4" s="907"/>
      <c r="H4" s="485"/>
      <c r="I4" s="485"/>
      <c r="J4" s="485"/>
      <c r="K4" s="485"/>
      <c r="L4" s="485"/>
      <c r="M4" s="485"/>
      <c r="N4" s="485"/>
      <c r="O4" s="485"/>
      <c r="P4" s="485"/>
      <c r="Q4" s="485"/>
      <c r="R4" s="485"/>
      <c r="S4" s="485"/>
      <c r="T4" s="485"/>
      <c r="U4" s="485"/>
      <c r="V4" s="485"/>
      <c r="W4" s="485"/>
      <c r="X4" s="485"/>
      <c r="Y4" s="485"/>
      <c r="Z4" s="485"/>
      <c r="AA4" s="485"/>
      <c r="AB4" s="485"/>
      <c r="AC4" s="485"/>
      <c r="AD4" s="485"/>
      <c r="AE4" s="485"/>
      <c r="AF4" s="485"/>
      <c r="AG4" s="485"/>
      <c r="AH4" s="485"/>
      <c r="AI4" s="485"/>
      <c r="AJ4" s="485"/>
      <c r="AK4" s="485"/>
      <c r="AL4" s="485"/>
      <c r="AM4" s="485"/>
      <c r="AN4" s="485"/>
      <c r="AO4" s="485"/>
      <c r="AP4" s="485"/>
      <c r="AQ4" s="485"/>
      <c r="AR4" s="485"/>
      <c r="AS4" s="485"/>
      <c r="AT4" s="485"/>
      <c r="AU4" s="485"/>
    </row>
    <row r="5" spans="1:47">
      <c r="A5" s="452"/>
      <c r="B5" s="908" t="s">
        <v>722</v>
      </c>
      <c r="C5" s="909"/>
      <c r="D5" s="909"/>
      <c r="E5" s="909"/>
      <c r="F5" s="909"/>
      <c r="G5" s="910"/>
      <c r="H5" s="452"/>
      <c r="I5" s="554"/>
      <c r="J5" s="452"/>
      <c r="K5" s="452"/>
      <c r="L5" s="452"/>
      <c r="M5" s="452"/>
      <c r="N5" s="452"/>
      <c r="O5" s="452"/>
      <c r="P5" s="452"/>
      <c r="Q5" s="452"/>
      <c r="R5" s="452"/>
      <c r="S5" s="452"/>
      <c r="T5" s="452"/>
      <c r="U5" s="452"/>
      <c r="V5" s="452"/>
      <c r="W5" s="452"/>
      <c r="X5" s="452"/>
      <c r="Y5" s="452"/>
      <c r="Z5" s="452"/>
      <c r="AA5" s="452"/>
      <c r="AB5" s="452"/>
      <c r="AC5" s="452"/>
      <c r="AD5" s="452"/>
      <c r="AE5" s="452"/>
      <c r="AF5" s="452"/>
      <c r="AG5" s="452"/>
      <c r="AH5" s="452"/>
      <c r="AI5" s="452"/>
      <c r="AJ5" s="452"/>
      <c r="AK5" s="452"/>
      <c r="AL5" s="452"/>
      <c r="AM5" s="452"/>
      <c r="AN5" s="452"/>
      <c r="AO5" s="452"/>
      <c r="AP5" s="452"/>
      <c r="AQ5" s="452"/>
      <c r="AR5" s="452"/>
      <c r="AS5" s="452"/>
      <c r="AT5" s="452"/>
      <c r="AU5" s="452"/>
    </row>
    <row r="6" spans="1:47">
      <c r="A6" s="452"/>
      <c r="B6" s="908" t="s">
        <v>723</v>
      </c>
      <c r="C6" s="909"/>
      <c r="D6" s="909"/>
      <c r="E6" s="909"/>
      <c r="F6" s="909"/>
      <c r="G6" s="910"/>
      <c r="H6" s="452"/>
      <c r="I6" s="554"/>
      <c r="J6" s="452"/>
      <c r="K6" s="452"/>
      <c r="L6" s="452"/>
      <c r="M6" s="452"/>
      <c r="N6" s="452"/>
      <c r="O6" s="452"/>
      <c r="P6" s="452"/>
      <c r="Q6" s="452"/>
      <c r="R6" s="452"/>
      <c r="S6" s="452"/>
      <c r="T6" s="452"/>
      <c r="U6" s="452"/>
      <c r="V6" s="452"/>
      <c r="W6" s="452"/>
      <c r="X6" s="452"/>
      <c r="Y6" s="452"/>
      <c r="Z6" s="452"/>
      <c r="AA6" s="452"/>
      <c r="AB6" s="452"/>
      <c r="AC6" s="452"/>
      <c r="AD6" s="452"/>
      <c r="AE6" s="452"/>
      <c r="AF6" s="452"/>
      <c r="AG6" s="452"/>
      <c r="AH6" s="452"/>
      <c r="AI6" s="452"/>
      <c r="AJ6" s="452"/>
      <c r="AK6" s="452"/>
      <c r="AL6" s="452"/>
      <c r="AM6" s="452"/>
      <c r="AN6" s="452"/>
      <c r="AO6" s="452"/>
      <c r="AP6" s="452"/>
      <c r="AQ6" s="452"/>
      <c r="AR6" s="452"/>
      <c r="AS6" s="452"/>
      <c r="AT6" s="452"/>
      <c r="AU6" s="452"/>
    </row>
    <row r="7" spans="1:47">
      <c r="A7" s="452"/>
      <c r="B7" s="558"/>
      <c r="C7" s="558"/>
      <c r="D7" s="558"/>
      <c r="E7" s="558"/>
      <c r="F7" s="558"/>
      <c r="G7" s="558"/>
      <c r="H7" s="452"/>
      <c r="I7" s="554"/>
      <c r="J7" s="452"/>
      <c r="K7" s="452"/>
      <c r="L7" s="452"/>
      <c r="M7" s="452"/>
      <c r="N7" s="452"/>
      <c r="O7" s="452"/>
      <c r="P7" s="452"/>
      <c r="Q7" s="452"/>
      <c r="R7" s="452"/>
      <c r="S7" s="452"/>
      <c r="T7" s="452"/>
      <c r="U7" s="452"/>
      <c r="V7" s="452"/>
      <c r="W7" s="452"/>
      <c r="X7" s="452"/>
      <c r="Y7" s="452"/>
      <c r="Z7" s="452"/>
      <c r="AA7" s="452"/>
      <c r="AB7" s="452"/>
      <c r="AC7" s="452"/>
      <c r="AD7" s="452"/>
      <c r="AE7" s="452"/>
      <c r="AF7" s="452"/>
      <c r="AG7" s="452"/>
      <c r="AH7" s="452"/>
      <c r="AI7" s="452"/>
      <c r="AJ7" s="452"/>
      <c r="AK7" s="452"/>
      <c r="AL7" s="452"/>
      <c r="AM7" s="452"/>
      <c r="AN7" s="452"/>
      <c r="AO7" s="452"/>
      <c r="AP7" s="452"/>
      <c r="AQ7" s="452"/>
      <c r="AR7" s="452"/>
      <c r="AS7" s="452"/>
      <c r="AT7" s="452"/>
      <c r="AU7" s="452"/>
    </row>
    <row r="8" spans="1:47" ht="13.5" thickBot="1">
      <c r="A8" s="452"/>
      <c r="B8" s="558"/>
      <c r="C8" s="558"/>
      <c r="D8" s="558"/>
      <c r="E8" s="558"/>
      <c r="F8" s="558"/>
      <c r="G8" s="558"/>
      <c r="H8" s="452"/>
      <c r="I8" s="554"/>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row>
    <row r="9" spans="1:47" ht="14.1" customHeight="1">
      <c r="A9" s="452"/>
      <c r="B9" s="892" t="s">
        <v>538</v>
      </c>
      <c r="C9" s="507" t="s">
        <v>532</v>
      </c>
      <c r="D9" s="897" t="s">
        <v>531</v>
      </c>
      <c r="E9" s="897" t="s">
        <v>530</v>
      </c>
      <c r="F9" s="916" t="s">
        <v>529</v>
      </c>
      <c r="G9" s="506" t="s">
        <v>528</v>
      </c>
      <c r="H9" s="505">
        <v>2023</v>
      </c>
      <c r="I9" s="504">
        <f>H9+1</f>
        <v>2024</v>
      </c>
      <c r="J9" s="504">
        <f>I9+1</f>
        <v>2025</v>
      </c>
      <c r="K9" s="504">
        <f t="shared" ref="K9" si="0">J9+1</f>
        <v>2026</v>
      </c>
      <c r="L9" s="452"/>
      <c r="M9" s="452"/>
      <c r="N9" s="452"/>
      <c r="O9" s="452"/>
      <c r="P9" s="452"/>
      <c r="Q9" s="452"/>
      <c r="R9" s="452"/>
      <c r="S9" s="452"/>
      <c r="T9" s="452"/>
      <c r="U9" s="452"/>
      <c r="V9" s="452"/>
      <c r="W9" s="452"/>
      <c r="X9" s="452"/>
      <c r="Y9" s="452"/>
      <c r="Z9" s="452"/>
      <c r="AA9" s="452"/>
      <c r="AB9" s="452"/>
      <c r="AC9" s="452"/>
      <c r="AD9" s="452"/>
      <c r="AE9" s="452"/>
      <c r="AF9" s="452"/>
      <c r="AG9" s="452"/>
      <c r="AH9" s="452"/>
      <c r="AI9" s="452"/>
      <c r="AJ9" s="452"/>
      <c r="AK9" s="452"/>
      <c r="AL9" s="452"/>
      <c r="AM9" s="452"/>
      <c r="AN9" s="452"/>
      <c r="AO9" s="452"/>
      <c r="AP9" s="452"/>
      <c r="AQ9" s="452"/>
      <c r="AR9" s="452"/>
      <c r="AS9" s="452"/>
      <c r="AT9" s="452"/>
      <c r="AU9" s="452"/>
    </row>
    <row r="10" spans="1:47" ht="14.1" customHeight="1">
      <c r="A10" s="452"/>
      <c r="B10" s="893"/>
      <c r="C10" s="503" t="s">
        <v>527</v>
      </c>
      <c r="D10" s="898"/>
      <c r="E10" s="898"/>
      <c r="F10" s="917"/>
      <c r="G10" s="502" t="s">
        <v>526</v>
      </c>
      <c r="H10" s="541">
        <v>17</v>
      </c>
      <c r="I10" s="501">
        <v>17</v>
      </c>
      <c r="J10" s="501">
        <v>14</v>
      </c>
      <c r="K10" s="501">
        <v>6</v>
      </c>
      <c r="L10" s="452"/>
      <c r="M10" s="452"/>
      <c r="N10" s="452"/>
      <c r="O10" s="452"/>
      <c r="P10" s="452"/>
      <c r="Q10" s="452"/>
      <c r="R10" s="452"/>
      <c r="S10" s="452"/>
      <c r="T10" s="452"/>
      <c r="U10" s="452"/>
      <c r="V10" s="452"/>
      <c r="W10" s="452"/>
      <c r="X10" s="452"/>
      <c r="Y10" s="452"/>
      <c r="Z10" s="452"/>
      <c r="AA10" s="452"/>
      <c r="AB10" s="452"/>
      <c r="AC10" s="452"/>
      <c r="AD10" s="452"/>
      <c r="AE10" s="452"/>
      <c r="AF10" s="452"/>
      <c r="AG10" s="452"/>
      <c r="AH10" s="452"/>
      <c r="AI10" s="452"/>
      <c r="AJ10" s="452"/>
      <c r="AK10" s="452"/>
      <c r="AL10" s="452"/>
      <c r="AM10" s="452"/>
      <c r="AN10" s="452"/>
      <c r="AO10" s="452"/>
      <c r="AP10" s="452"/>
      <c r="AQ10" s="452"/>
      <c r="AR10" s="452"/>
      <c r="AS10" s="452"/>
      <c r="AT10" s="452"/>
      <c r="AU10" s="452"/>
    </row>
    <row r="11" spans="1:47" ht="13.5" thickBot="1">
      <c r="A11" s="452"/>
      <c r="B11" s="500" t="s">
        <v>525</v>
      </c>
      <c r="C11" s="499">
        <f>340*900</f>
        <v>306000</v>
      </c>
      <c r="D11" s="899"/>
      <c r="E11" s="899"/>
      <c r="F11" s="918"/>
      <c r="G11" s="498" t="s">
        <v>524</v>
      </c>
      <c r="H11" s="540">
        <v>13</v>
      </c>
      <c r="I11" s="497">
        <v>13</v>
      </c>
      <c r="J11" s="497">
        <v>11</v>
      </c>
      <c r="K11" s="497">
        <v>3</v>
      </c>
      <c r="L11" s="452"/>
      <c r="M11" s="452"/>
      <c r="N11" s="452"/>
      <c r="O11" s="452"/>
      <c r="P11" s="452"/>
      <c r="Q11" s="452"/>
      <c r="R11" s="452"/>
      <c r="S11" s="452"/>
      <c r="T11" s="452"/>
      <c r="U11" s="452"/>
      <c r="V11" s="452"/>
      <c r="W11" s="452"/>
      <c r="X11" s="452"/>
      <c r="Y11" s="452"/>
      <c r="Z11" s="452"/>
      <c r="AA11" s="452"/>
      <c r="AB11" s="452"/>
      <c r="AC11" s="452"/>
      <c r="AD11" s="452"/>
      <c r="AE11" s="452"/>
      <c r="AF11" s="452"/>
      <c r="AG11" s="452"/>
      <c r="AH11" s="452"/>
      <c r="AI11" s="452"/>
      <c r="AJ11" s="452"/>
      <c r="AK11" s="452"/>
      <c r="AL11" s="452"/>
      <c r="AM11" s="452"/>
      <c r="AN11" s="452"/>
      <c r="AO11" s="452"/>
      <c r="AP11" s="452"/>
      <c r="AQ11" s="452"/>
      <c r="AR11" s="452"/>
      <c r="AS11" s="452"/>
      <c r="AT11" s="452"/>
      <c r="AU11" s="452"/>
    </row>
    <row r="12" spans="1:47">
      <c r="A12" s="452"/>
      <c r="B12" s="496" t="s">
        <v>523</v>
      </c>
      <c r="C12" s="495" t="s">
        <v>276</v>
      </c>
      <c r="D12" s="494">
        <v>0.88</v>
      </c>
      <c r="E12" s="493">
        <f t="shared" ref="E12" si="1">900*340</f>
        <v>306000</v>
      </c>
      <c r="F12" s="492">
        <f>D12*E12</f>
        <v>269280</v>
      </c>
      <c r="G12" s="914"/>
      <c r="H12" s="552">
        <f>$F$12*H10</f>
        <v>4577760</v>
      </c>
      <c r="I12" s="551">
        <f t="shared" ref="I12:K12" si="2">$F$12*I10</f>
        <v>4577760</v>
      </c>
      <c r="J12" s="551">
        <f t="shared" si="2"/>
        <v>3769920</v>
      </c>
      <c r="K12" s="550">
        <f t="shared" si="2"/>
        <v>1615680</v>
      </c>
      <c r="L12" s="452"/>
      <c r="M12" s="452"/>
      <c r="N12" s="452"/>
      <c r="O12" s="452"/>
      <c r="P12" s="452"/>
      <c r="Q12" s="452"/>
      <c r="R12" s="452"/>
      <c r="S12" s="452"/>
      <c r="T12" s="452"/>
      <c r="U12" s="452"/>
      <c r="V12" s="452"/>
      <c r="W12" s="452"/>
      <c r="X12" s="452"/>
      <c r="Y12" s="452"/>
      <c r="Z12" s="452"/>
      <c r="AA12" s="452"/>
      <c r="AB12" s="452"/>
      <c r="AC12" s="452"/>
      <c r="AD12" s="452"/>
      <c r="AE12" s="452"/>
      <c r="AF12" s="452"/>
      <c r="AG12" s="452"/>
      <c r="AH12" s="452"/>
      <c r="AI12" s="452"/>
      <c r="AJ12" s="452"/>
      <c r="AK12" s="452"/>
      <c r="AL12" s="452"/>
      <c r="AM12" s="452"/>
      <c r="AN12" s="452"/>
      <c r="AO12" s="452"/>
      <c r="AP12" s="452"/>
      <c r="AQ12" s="452"/>
      <c r="AR12" s="452"/>
      <c r="AS12" s="452"/>
      <c r="AT12" s="452"/>
      <c r="AU12" s="452"/>
    </row>
    <row r="13" spans="1:47">
      <c r="A13" s="452"/>
      <c r="B13" s="477" t="s">
        <v>522</v>
      </c>
      <c r="C13" s="476" t="s">
        <v>276</v>
      </c>
      <c r="D13" s="549"/>
      <c r="E13" s="549"/>
      <c r="F13" s="528"/>
      <c r="G13" s="914"/>
      <c r="H13" s="532"/>
      <c r="I13" s="531"/>
      <c r="J13" s="531"/>
      <c r="K13" s="530"/>
      <c r="L13" s="452"/>
      <c r="M13" s="452"/>
      <c r="N13" s="452"/>
      <c r="O13" s="452"/>
      <c r="P13" s="452"/>
      <c r="Q13" s="452"/>
      <c r="R13" s="452"/>
      <c r="S13" s="452"/>
      <c r="T13" s="452"/>
      <c r="U13" s="452"/>
      <c r="V13" s="452"/>
      <c r="W13" s="452"/>
      <c r="X13" s="452"/>
      <c r="Y13" s="452"/>
      <c r="Z13" s="452"/>
      <c r="AA13" s="452"/>
      <c r="AB13" s="452"/>
      <c r="AC13" s="452"/>
      <c r="AD13" s="452"/>
      <c r="AE13" s="452"/>
      <c r="AF13" s="452"/>
      <c r="AG13" s="452"/>
      <c r="AH13" s="452"/>
      <c r="AI13" s="452"/>
      <c r="AJ13" s="452"/>
      <c r="AK13" s="452"/>
      <c r="AL13" s="452"/>
      <c r="AM13" s="452"/>
      <c r="AN13" s="452"/>
      <c r="AO13" s="452"/>
      <c r="AP13" s="452"/>
      <c r="AQ13" s="452"/>
      <c r="AR13" s="452"/>
      <c r="AS13" s="452"/>
      <c r="AT13" s="452"/>
      <c r="AU13" s="452"/>
    </row>
    <row r="14" spans="1:47">
      <c r="A14" s="452"/>
      <c r="B14" s="477" t="s">
        <v>521</v>
      </c>
      <c r="C14" s="476" t="s">
        <v>276</v>
      </c>
      <c r="D14" s="475">
        <v>0.04</v>
      </c>
      <c r="E14" s="474">
        <f>900*340</f>
        <v>306000</v>
      </c>
      <c r="F14" s="473">
        <f>D14*E14</f>
        <v>12240</v>
      </c>
      <c r="G14" s="914"/>
      <c r="H14" s="472">
        <f>$F$14*H10</f>
        <v>208080</v>
      </c>
      <c r="I14" s="471">
        <f t="shared" ref="I14:K14" si="3">$F$14*I10</f>
        <v>208080</v>
      </c>
      <c r="J14" s="471">
        <f t="shared" si="3"/>
        <v>171360</v>
      </c>
      <c r="K14" s="470">
        <f t="shared" si="3"/>
        <v>73440</v>
      </c>
      <c r="L14" s="452"/>
      <c r="M14" s="452"/>
      <c r="N14" s="452"/>
      <c r="O14" s="452"/>
      <c r="P14" s="452"/>
      <c r="Q14" s="452"/>
      <c r="R14" s="452"/>
      <c r="S14" s="452"/>
      <c r="T14" s="452"/>
      <c r="U14" s="452"/>
      <c r="V14" s="452"/>
      <c r="W14" s="452"/>
      <c r="X14" s="452"/>
      <c r="Y14" s="452"/>
      <c r="Z14" s="452"/>
      <c r="AA14" s="452"/>
      <c r="AB14" s="452"/>
      <c r="AC14" s="452"/>
      <c r="AD14" s="452"/>
      <c r="AE14" s="452"/>
      <c r="AF14" s="452"/>
      <c r="AG14" s="452"/>
      <c r="AH14" s="452"/>
      <c r="AI14" s="452"/>
      <c r="AJ14" s="452"/>
      <c r="AK14" s="452"/>
      <c r="AL14" s="452"/>
      <c r="AM14" s="452"/>
      <c r="AN14" s="452"/>
      <c r="AO14" s="452"/>
      <c r="AP14" s="452"/>
      <c r="AQ14" s="452"/>
      <c r="AR14" s="452"/>
      <c r="AS14" s="452"/>
      <c r="AT14" s="452"/>
      <c r="AU14" s="452"/>
    </row>
    <row r="15" spans="1:47">
      <c r="A15" s="452"/>
      <c r="B15" s="477" t="s">
        <v>284</v>
      </c>
      <c r="C15" s="476" t="s">
        <v>276</v>
      </c>
      <c r="D15" s="484"/>
      <c r="E15" s="529"/>
      <c r="F15" s="528"/>
      <c r="G15" s="914"/>
      <c r="H15" s="532"/>
      <c r="I15" s="531"/>
      <c r="J15" s="531"/>
      <c r="K15" s="530"/>
      <c r="L15" s="452"/>
      <c r="M15" s="452"/>
      <c r="N15" s="452"/>
      <c r="O15" s="452"/>
      <c r="P15" s="452"/>
      <c r="Q15" s="452"/>
      <c r="R15" s="452"/>
      <c r="S15" s="452"/>
      <c r="T15" s="452"/>
      <c r="U15" s="452"/>
      <c r="V15" s="452"/>
      <c r="W15" s="452"/>
      <c r="X15" s="452"/>
      <c r="Y15" s="452"/>
      <c r="Z15" s="452"/>
      <c r="AA15" s="452"/>
      <c r="AB15" s="452"/>
      <c r="AC15" s="452"/>
      <c r="AD15" s="452"/>
      <c r="AE15" s="452"/>
      <c r="AF15" s="452"/>
      <c r="AG15" s="452"/>
      <c r="AH15" s="452"/>
      <c r="AI15" s="452"/>
      <c r="AJ15" s="452"/>
      <c r="AK15" s="452"/>
      <c r="AL15" s="452"/>
      <c r="AM15" s="452"/>
      <c r="AN15" s="452"/>
      <c r="AO15" s="452"/>
      <c r="AP15" s="452"/>
      <c r="AQ15" s="452"/>
      <c r="AR15" s="452"/>
      <c r="AS15" s="452"/>
      <c r="AT15" s="452"/>
      <c r="AU15" s="452"/>
    </row>
    <row r="16" spans="1:47">
      <c r="A16" s="452"/>
      <c r="B16" s="477" t="s">
        <v>287</v>
      </c>
      <c r="C16" s="476" t="s">
        <v>276</v>
      </c>
      <c r="D16" s="475">
        <v>4.6900000000000004</v>
      </c>
      <c r="E16" s="474">
        <f>900*340</f>
        <v>306000</v>
      </c>
      <c r="F16" s="473">
        <f>D16*E16</f>
        <v>1435140.0000000002</v>
      </c>
      <c r="G16" s="914"/>
      <c r="H16" s="472">
        <f>$F$16*H10</f>
        <v>24397380.000000004</v>
      </c>
      <c r="I16" s="471">
        <f t="shared" ref="I16:K16" si="4">$F$16*I10</f>
        <v>24397380.000000004</v>
      </c>
      <c r="J16" s="471">
        <f t="shared" si="4"/>
        <v>20091960.000000004</v>
      </c>
      <c r="K16" s="470">
        <f t="shared" si="4"/>
        <v>8610840.0000000019</v>
      </c>
      <c r="L16" s="452"/>
      <c r="M16" s="452"/>
      <c r="N16" s="452"/>
      <c r="O16" s="452"/>
      <c r="P16" s="452"/>
      <c r="Q16" s="452"/>
      <c r="R16" s="452"/>
      <c r="S16" s="452"/>
      <c r="T16" s="452"/>
      <c r="U16" s="452"/>
      <c r="V16" s="452"/>
      <c r="W16" s="452"/>
      <c r="X16" s="452"/>
      <c r="Y16" s="452"/>
      <c r="Z16" s="452"/>
      <c r="AA16" s="452"/>
      <c r="AB16" s="452"/>
      <c r="AC16" s="452"/>
      <c r="AD16" s="452"/>
      <c r="AE16" s="452"/>
      <c r="AF16" s="452"/>
      <c r="AG16" s="452"/>
      <c r="AH16" s="452"/>
      <c r="AI16" s="452"/>
      <c r="AJ16" s="452"/>
      <c r="AK16" s="452"/>
      <c r="AL16" s="452"/>
      <c r="AM16" s="452"/>
      <c r="AN16" s="452"/>
      <c r="AO16" s="452"/>
      <c r="AP16" s="452"/>
      <c r="AQ16" s="452"/>
      <c r="AR16" s="452"/>
      <c r="AS16" s="452"/>
      <c r="AT16" s="452"/>
      <c r="AU16" s="452"/>
    </row>
    <row r="17" spans="1:47">
      <c r="A17" s="452"/>
      <c r="B17" s="477" t="s">
        <v>520</v>
      </c>
      <c r="C17" s="476" t="s">
        <v>276</v>
      </c>
      <c r="D17" s="548">
        <v>0.1</v>
      </c>
      <c r="E17" s="474">
        <f>900*340</f>
        <v>306000</v>
      </c>
      <c r="F17" s="473">
        <f t="shared" ref="F17:F19" si="5">D17*E17</f>
        <v>30600</v>
      </c>
      <c r="G17" s="914"/>
      <c r="H17" s="472">
        <f>$F$17*H10</f>
        <v>520200</v>
      </c>
      <c r="I17" s="471">
        <f t="shared" ref="I17:K17" si="6">$F$17*I10</f>
        <v>520200</v>
      </c>
      <c r="J17" s="471">
        <f t="shared" si="6"/>
        <v>428400</v>
      </c>
      <c r="K17" s="470">
        <f t="shared" si="6"/>
        <v>183600</v>
      </c>
      <c r="L17" s="452"/>
      <c r="M17" s="452"/>
      <c r="N17" s="452"/>
      <c r="O17" s="452"/>
      <c r="P17" s="452"/>
      <c r="Q17" s="452"/>
      <c r="R17" s="452"/>
      <c r="S17" s="452"/>
      <c r="T17" s="452"/>
      <c r="U17" s="452"/>
      <c r="V17" s="452"/>
      <c r="W17" s="452"/>
      <c r="X17" s="452"/>
      <c r="Y17" s="452"/>
      <c r="Z17" s="452"/>
      <c r="AA17" s="452"/>
      <c r="AB17" s="452"/>
      <c r="AC17" s="452"/>
      <c r="AD17" s="452"/>
      <c r="AE17" s="452"/>
      <c r="AF17" s="452"/>
      <c r="AG17" s="452"/>
      <c r="AH17" s="452"/>
      <c r="AI17" s="452"/>
      <c r="AJ17" s="452"/>
      <c r="AK17" s="452"/>
      <c r="AL17" s="452"/>
      <c r="AM17" s="452"/>
      <c r="AN17" s="452"/>
      <c r="AO17" s="452"/>
      <c r="AP17" s="452"/>
      <c r="AQ17" s="452"/>
      <c r="AR17" s="452"/>
      <c r="AS17" s="452"/>
      <c r="AT17" s="452"/>
      <c r="AU17" s="452"/>
    </row>
    <row r="18" spans="1:47">
      <c r="A18" s="452"/>
      <c r="B18" s="477" t="s">
        <v>330</v>
      </c>
      <c r="C18" s="476" t="s">
        <v>276</v>
      </c>
      <c r="D18" s="475">
        <v>0.11</v>
      </c>
      <c r="E18" s="474">
        <f>900*340</f>
        <v>306000</v>
      </c>
      <c r="F18" s="473">
        <f t="shared" si="5"/>
        <v>33660</v>
      </c>
      <c r="G18" s="914"/>
      <c r="H18" s="472">
        <f>$F$18*H10</f>
        <v>572220</v>
      </c>
      <c r="I18" s="471">
        <f t="shared" ref="I18:K18" si="7">$F$18*I10</f>
        <v>572220</v>
      </c>
      <c r="J18" s="471">
        <f t="shared" si="7"/>
        <v>471240</v>
      </c>
      <c r="K18" s="470">
        <f t="shared" si="7"/>
        <v>201960</v>
      </c>
      <c r="L18" s="452"/>
      <c r="M18" s="452"/>
      <c r="N18" s="452"/>
      <c r="O18" s="452"/>
      <c r="P18" s="452"/>
      <c r="Q18" s="452"/>
      <c r="R18" s="452"/>
      <c r="S18" s="452"/>
      <c r="T18" s="452"/>
      <c r="U18" s="452"/>
      <c r="V18" s="452"/>
      <c r="W18" s="452"/>
      <c r="X18" s="452"/>
      <c r="Y18" s="452"/>
      <c r="Z18" s="452"/>
      <c r="AA18" s="452"/>
      <c r="AB18" s="452"/>
      <c r="AC18" s="452"/>
      <c r="AD18" s="452"/>
      <c r="AE18" s="452"/>
      <c r="AF18" s="452"/>
      <c r="AG18" s="452"/>
      <c r="AH18" s="452"/>
      <c r="AI18" s="452"/>
      <c r="AJ18" s="452"/>
      <c r="AK18" s="452"/>
      <c r="AL18" s="452"/>
      <c r="AM18" s="452"/>
      <c r="AN18" s="452"/>
      <c r="AO18" s="452"/>
      <c r="AP18" s="452"/>
      <c r="AQ18" s="452"/>
      <c r="AR18" s="452"/>
      <c r="AS18" s="452"/>
      <c r="AT18" s="452"/>
      <c r="AU18" s="452"/>
    </row>
    <row r="19" spans="1:47">
      <c r="A19" s="452"/>
      <c r="B19" s="477" t="s">
        <v>331</v>
      </c>
      <c r="C19" s="476" t="s">
        <v>276</v>
      </c>
      <c r="D19" s="475">
        <v>0.78</v>
      </c>
      <c r="E19" s="474">
        <f>900*340</f>
        <v>306000</v>
      </c>
      <c r="F19" s="473">
        <f t="shared" si="5"/>
        <v>238680</v>
      </c>
      <c r="G19" s="914"/>
      <c r="H19" s="472">
        <f>$F$19*H10</f>
        <v>4057560</v>
      </c>
      <c r="I19" s="471">
        <f t="shared" ref="I19:K19" si="8">$F$19*I10</f>
        <v>4057560</v>
      </c>
      <c r="J19" s="471">
        <f t="shared" si="8"/>
        <v>3341520</v>
      </c>
      <c r="K19" s="470">
        <f t="shared" si="8"/>
        <v>1432080</v>
      </c>
      <c r="L19" s="452"/>
      <c r="M19" s="452"/>
      <c r="N19" s="452"/>
      <c r="O19" s="452"/>
      <c r="P19" s="452"/>
      <c r="Q19" s="452"/>
      <c r="R19" s="452"/>
      <c r="S19" s="452"/>
      <c r="T19" s="452"/>
      <c r="U19" s="452"/>
      <c r="V19" s="452"/>
      <c r="W19" s="452"/>
      <c r="X19" s="452"/>
      <c r="Y19" s="452"/>
      <c r="Z19" s="452"/>
      <c r="AA19" s="452"/>
      <c r="AB19" s="452"/>
      <c r="AC19" s="452"/>
      <c r="AD19" s="452"/>
      <c r="AE19" s="452"/>
      <c r="AF19" s="452"/>
      <c r="AG19" s="452"/>
      <c r="AH19" s="452"/>
      <c r="AI19" s="452"/>
      <c r="AJ19" s="452"/>
      <c r="AK19" s="452"/>
      <c r="AL19" s="452"/>
      <c r="AM19" s="452"/>
      <c r="AN19" s="452"/>
      <c r="AO19" s="452"/>
      <c r="AP19" s="452"/>
      <c r="AQ19" s="452"/>
      <c r="AR19" s="452"/>
      <c r="AS19" s="452"/>
      <c r="AT19" s="452"/>
      <c r="AU19" s="452"/>
    </row>
    <row r="20" spans="1:47" ht="13.5" thickBot="1">
      <c r="A20" s="452"/>
      <c r="B20" s="469" t="s">
        <v>537</v>
      </c>
      <c r="C20" s="468" t="s">
        <v>276</v>
      </c>
      <c r="D20" s="467"/>
      <c r="E20" s="547"/>
      <c r="F20" s="546"/>
      <c r="G20" s="914"/>
      <c r="H20" s="464"/>
      <c r="I20" s="463"/>
      <c r="J20" s="463"/>
      <c r="K20" s="462"/>
      <c r="L20" s="452"/>
      <c r="M20" s="452"/>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c r="AM20" s="452"/>
      <c r="AN20" s="452"/>
      <c r="AO20" s="452"/>
      <c r="AP20" s="452"/>
      <c r="AQ20" s="452"/>
      <c r="AR20" s="452"/>
      <c r="AS20" s="452"/>
      <c r="AT20" s="452"/>
      <c r="AU20" s="452"/>
    </row>
    <row r="21" spans="1:47" ht="13.5" thickTop="1">
      <c r="A21" s="452"/>
      <c r="B21" s="461" t="s">
        <v>518</v>
      </c>
      <c r="C21" s="590" t="s">
        <v>276</v>
      </c>
      <c r="D21" s="459">
        <v>0.18</v>
      </c>
      <c r="E21" s="458">
        <f>900*340</f>
        <v>306000</v>
      </c>
      <c r="F21" s="457">
        <f>D21*E21</f>
        <v>55080</v>
      </c>
      <c r="G21" s="914"/>
      <c r="H21" s="455">
        <f>$F$21*H10</f>
        <v>936360</v>
      </c>
      <c r="I21" s="454">
        <f t="shared" ref="I21:K21" si="9">$F$21*I10</f>
        <v>936360</v>
      </c>
      <c r="J21" s="454">
        <f t="shared" si="9"/>
        <v>771120</v>
      </c>
      <c r="K21" s="453">
        <f t="shared" si="9"/>
        <v>330480</v>
      </c>
      <c r="L21" s="452"/>
      <c r="M21" s="452"/>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c r="AL21" s="452"/>
      <c r="AM21" s="452"/>
      <c r="AN21" s="452"/>
      <c r="AO21" s="452"/>
      <c r="AP21" s="452"/>
      <c r="AQ21" s="452"/>
      <c r="AR21" s="452"/>
      <c r="AS21" s="452"/>
      <c r="AT21" s="452"/>
      <c r="AU21" s="452"/>
    </row>
    <row r="22" spans="1:47" ht="13.5" thickBot="1">
      <c r="A22" s="452"/>
      <c r="B22" s="451" t="s">
        <v>517</v>
      </c>
      <c r="C22" s="515" t="s">
        <v>276</v>
      </c>
      <c r="D22" s="449"/>
      <c r="E22" s="571"/>
      <c r="F22" s="572"/>
      <c r="G22" s="915"/>
      <c r="H22" s="446"/>
      <c r="I22" s="445"/>
      <c r="J22" s="445"/>
      <c r="K22" s="444"/>
      <c r="L22" s="452"/>
      <c r="M22" s="452"/>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c r="AL22" s="452"/>
      <c r="AM22" s="452"/>
      <c r="AN22" s="452"/>
      <c r="AO22" s="452"/>
      <c r="AP22" s="452"/>
      <c r="AQ22" s="452"/>
      <c r="AR22" s="452"/>
      <c r="AS22" s="452"/>
      <c r="AT22" s="452"/>
      <c r="AU22" s="452"/>
    </row>
    <row r="23" spans="1:47">
      <c r="A23" s="452"/>
      <c r="B23" s="558"/>
      <c r="C23" s="558"/>
      <c r="D23" s="558"/>
      <c r="E23" s="558"/>
      <c r="F23" s="558"/>
      <c r="G23" s="558"/>
      <c r="H23" s="508"/>
      <c r="I23" s="508"/>
      <c r="J23" s="508"/>
      <c r="K23" s="508"/>
      <c r="L23" s="452"/>
      <c r="M23" s="452"/>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c r="AL23" s="452"/>
      <c r="AM23" s="452"/>
      <c r="AN23" s="452"/>
      <c r="AO23" s="452"/>
      <c r="AP23" s="452"/>
      <c r="AQ23" s="452"/>
      <c r="AR23" s="452"/>
      <c r="AS23" s="452"/>
      <c r="AT23" s="452"/>
      <c r="AU23" s="452"/>
    </row>
    <row r="24" spans="1:47" ht="13.5" thickBot="1">
      <c r="A24" s="452"/>
      <c r="B24" s="558"/>
      <c r="C24" s="558"/>
      <c r="D24" s="558"/>
      <c r="E24" s="558"/>
      <c r="F24" s="558"/>
      <c r="G24" s="558"/>
      <c r="H24" s="452"/>
      <c r="I24" s="554"/>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2"/>
      <c r="AN24" s="452"/>
      <c r="AO24" s="452"/>
      <c r="AP24" s="452"/>
      <c r="AQ24" s="452"/>
      <c r="AR24" s="452"/>
      <c r="AS24" s="452"/>
      <c r="AT24" s="452"/>
      <c r="AU24" s="452"/>
    </row>
    <row r="25" spans="1:47" ht="12.95" customHeight="1">
      <c r="A25" s="452"/>
      <c r="B25" s="892" t="s">
        <v>536</v>
      </c>
      <c r="C25" s="507" t="s">
        <v>535</v>
      </c>
      <c r="D25" s="897" t="s">
        <v>531</v>
      </c>
      <c r="E25" s="897" t="s">
        <v>530</v>
      </c>
      <c r="F25" s="916" t="s">
        <v>529</v>
      </c>
      <c r="G25" s="506" t="s">
        <v>528</v>
      </c>
      <c r="H25" s="505">
        <v>2023</v>
      </c>
      <c r="I25" s="504">
        <f>H25+1</f>
        <v>2024</v>
      </c>
      <c r="J25" s="504">
        <f>I25+1</f>
        <v>2025</v>
      </c>
      <c r="K25" s="504">
        <f t="shared" ref="K25:L25" si="10">J25+1</f>
        <v>2026</v>
      </c>
      <c r="L25" s="504">
        <f t="shared" si="10"/>
        <v>2027</v>
      </c>
      <c r="M25" s="452"/>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c r="AL25" s="452"/>
      <c r="AM25" s="452"/>
      <c r="AN25" s="452"/>
      <c r="AO25" s="452"/>
      <c r="AP25" s="452"/>
      <c r="AQ25" s="452"/>
      <c r="AR25" s="452"/>
      <c r="AS25" s="452"/>
      <c r="AT25" s="452"/>
      <c r="AU25" s="452"/>
    </row>
    <row r="26" spans="1:47" ht="12.6" customHeight="1">
      <c r="A26" s="452"/>
      <c r="B26" s="893"/>
      <c r="C26" s="503" t="s">
        <v>534</v>
      </c>
      <c r="D26" s="898"/>
      <c r="E26" s="898"/>
      <c r="F26" s="917"/>
      <c r="G26" s="502" t="s">
        <v>526</v>
      </c>
      <c r="H26" s="541">
        <v>10</v>
      </c>
      <c r="I26" s="541">
        <v>10</v>
      </c>
      <c r="J26" s="541">
        <v>10</v>
      </c>
      <c r="K26" s="541">
        <v>10</v>
      </c>
      <c r="L26" s="501">
        <v>5</v>
      </c>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c r="AM26" s="452"/>
      <c r="AN26" s="452"/>
      <c r="AO26" s="452"/>
      <c r="AP26" s="452"/>
      <c r="AQ26" s="452"/>
      <c r="AR26" s="452"/>
      <c r="AS26" s="452"/>
      <c r="AT26" s="452"/>
      <c r="AU26" s="452"/>
    </row>
    <row r="27" spans="1:47" ht="13.5" thickBot="1">
      <c r="A27" s="452"/>
      <c r="B27" s="500" t="s">
        <v>525</v>
      </c>
      <c r="C27" s="499">
        <f>350*1000</f>
        <v>350000</v>
      </c>
      <c r="D27" s="899"/>
      <c r="E27" s="899"/>
      <c r="F27" s="918"/>
      <c r="G27" s="498" t="s">
        <v>524</v>
      </c>
      <c r="H27" s="540">
        <v>10</v>
      </c>
      <c r="I27" s="540">
        <v>10</v>
      </c>
      <c r="J27" s="540">
        <v>10</v>
      </c>
      <c r="K27" s="540">
        <v>10</v>
      </c>
      <c r="L27" s="497">
        <v>5</v>
      </c>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c r="AM27" s="452"/>
      <c r="AN27" s="452"/>
      <c r="AO27" s="452"/>
      <c r="AP27" s="452"/>
      <c r="AQ27" s="452"/>
      <c r="AR27" s="452"/>
      <c r="AS27" s="452"/>
      <c r="AT27" s="452"/>
      <c r="AU27" s="452"/>
    </row>
    <row r="28" spans="1:47">
      <c r="A28" s="452"/>
      <c r="B28" s="496" t="s">
        <v>523</v>
      </c>
      <c r="C28" s="495" t="s">
        <v>276</v>
      </c>
      <c r="D28" s="539"/>
      <c r="E28" s="539"/>
      <c r="F28" s="538"/>
      <c r="G28" s="902"/>
      <c r="H28" s="537"/>
      <c r="I28" s="536"/>
      <c r="J28" s="536"/>
      <c r="K28" s="536"/>
      <c r="L28" s="535"/>
      <c r="M28" s="452"/>
      <c r="N28" s="452"/>
      <c r="O28" s="452"/>
      <c r="P28" s="452"/>
      <c r="Q28" s="452"/>
      <c r="R28" s="452"/>
      <c r="S28" s="452"/>
      <c r="T28" s="452"/>
      <c r="U28" s="452"/>
      <c r="V28" s="452"/>
      <c r="W28" s="452"/>
      <c r="X28" s="452"/>
      <c r="Y28" s="452"/>
      <c r="Z28" s="452"/>
      <c r="AA28" s="452"/>
      <c r="AB28" s="452"/>
      <c r="AC28" s="452"/>
      <c r="AD28" s="452"/>
      <c r="AE28" s="452"/>
      <c r="AF28" s="452"/>
      <c r="AG28" s="452"/>
      <c r="AH28" s="452"/>
      <c r="AI28" s="452"/>
      <c r="AJ28" s="452"/>
      <c r="AK28" s="452"/>
      <c r="AL28" s="452"/>
      <c r="AM28" s="452"/>
      <c r="AN28" s="452"/>
      <c r="AO28" s="452"/>
      <c r="AP28" s="452"/>
      <c r="AQ28" s="452"/>
      <c r="AR28" s="452"/>
      <c r="AS28" s="452"/>
      <c r="AT28" s="452"/>
      <c r="AU28" s="452"/>
    </row>
    <row r="29" spans="1:47">
      <c r="A29" s="452"/>
      <c r="B29" s="477" t="s">
        <v>522</v>
      </c>
      <c r="C29" s="476" t="s">
        <v>276</v>
      </c>
      <c r="D29" s="534"/>
      <c r="E29" s="534"/>
      <c r="F29" s="533"/>
      <c r="G29" s="902"/>
      <c r="H29" s="532"/>
      <c r="I29" s="531"/>
      <c r="J29" s="531"/>
      <c r="K29" s="531"/>
      <c r="L29" s="530"/>
      <c r="M29" s="452"/>
      <c r="N29" s="452"/>
      <c r="O29" s="452"/>
      <c r="P29" s="452"/>
      <c r="Q29" s="452"/>
      <c r="R29" s="452"/>
      <c r="S29" s="452"/>
      <c r="T29" s="452"/>
      <c r="U29" s="452"/>
      <c r="V29" s="452"/>
      <c r="W29" s="452"/>
      <c r="X29" s="452"/>
      <c r="Y29" s="452"/>
      <c r="Z29" s="452"/>
      <c r="AA29" s="452"/>
      <c r="AB29" s="452"/>
      <c r="AC29" s="452"/>
      <c r="AD29" s="452"/>
      <c r="AE29" s="452"/>
      <c r="AF29" s="452"/>
      <c r="AG29" s="452"/>
      <c r="AH29" s="452"/>
      <c r="AI29" s="452"/>
      <c r="AJ29" s="452"/>
      <c r="AK29" s="452"/>
      <c r="AL29" s="452"/>
      <c r="AM29" s="452"/>
      <c r="AN29" s="452"/>
      <c r="AO29" s="452"/>
      <c r="AP29" s="452"/>
      <c r="AQ29" s="452"/>
      <c r="AR29" s="452"/>
      <c r="AS29" s="452"/>
      <c r="AT29" s="452"/>
      <c r="AU29" s="452"/>
    </row>
    <row r="30" spans="1:47">
      <c r="A30" s="452"/>
      <c r="B30" s="477" t="s">
        <v>521</v>
      </c>
      <c r="C30" s="476" t="s">
        <v>276</v>
      </c>
      <c r="D30" s="475">
        <v>0.04</v>
      </c>
      <c r="E30" s="474">
        <v>350000</v>
      </c>
      <c r="F30" s="473">
        <f>D30*E30</f>
        <v>14000</v>
      </c>
      <c r="G30" s="902"/>
      <c r="H30" s="472">
        <f>$F$30*H26</f>
        <v>140000</v>
      </c>
      <c r="I30" s="471">
        <f t="shared" ref="I30:L30" si="11">$F$30*I26</f>
        <v>140000</v>
      </c>
      <c r="J30" s="471">
        <f t="shared" si="11"/>
        <v>140000</v>
      </c>
      <c r="K30" s="471">
        <f t="shared" si="11"/>
        <v>140000</v>
      </c>
      <c r="L30" s="470">
        <f t="shared" si="11"/>
        <v>70000</v>
      </c>
      <c r="M30" s="452"/>
      <c r="N30" s="452"/>
      <c r="O30" s="452"/>
      <c r="P30" s="452"/>
      <c r="Q30" s="452"/>
      <c r="R30" s="452"/>
      <c r="S30" s="452"/>
      <c r="T30" s="452"/>
      <c r="U30" s="452"/>
      <c r="V30" s="452"/>
      <c r="W30" s="452"/>
      <c r="X30" s="452"/>
      <c r="Y30" s="452"/>
      <c r="Z30" s="452"/>
      <c r="AA30" s="452"/>
      <c r="AB30" s="452"/>
      <c r="AC30" s="452"/>
      <c r="AD30" s="452"/>
      <c r="AE30" s="452"/>
      <c r="AF30" s="452"/>
      <c r="AG30" s="452"/>
      <c r="AH30" s="452"/>
      <c r="AI30" s="452"/>
      <c r="AJ30" s="452"/>
      <c r="AK30" s="452"/>
      <c r="AL30" s="452"/>
      <c r="AM30" s="452"/>
      <c r="AN30" s="452"/>
      <c r="AO30" s="452"/>
      <c r="AP30" s="452"/>
      <c r="AQ30" s="452"/>
      <c r="AR30" s="452"/>
      <c r="AS30" s="452"/>
      <c r="AT30" s="452"/>
      <c r="AU30" s="452"/>
    </row>
    <row r="31" spans="1:47">
      <c r="A31" s="452"/>
      <c r="B31" s="477" t="s">
        <v>284</v>
      </c>
      <c r="C31" s="476" t="s">
        <v>276</v>
      </c>
      <c r="D31" s="484"/>
      <c r="E31" s="529"/>
      <c r="F31" s="528"/>
      <c r="G31" s="902"/>
      <c r="H31" s="532"/>
      <c r="I31" s="531"/>
      <c r="J31" s="531"/>
      <c r="K31" s="531"/>
      <c r="L31" s="530"/>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c r="AM31" s="452"/>
      <c r="AN31" s="452"/>
      <c r="AO31" s="452"/>
      <c r="AP31" s="452"/>
      <c r="AQ31" s="452"/>
      <c r="AR31" s="452"/>
      <c r="AS31" s="452"/>
      <c r="AT31" s="452"/>
      <c r="AU31" s="452"/>
    </row>
    <row r="32" spans="1:47">
      <c r="A32" s="452"/>
      <c r="B32" s="477" t="s">
        <v>287</v>
      </c>
      <c r="C32" s="476" t="s">
        <v>276</v>
      </c>
      <c r="D32" s="475">
        <v>4.6900000000000004</v>
      </c>
      <c r="E32" s="474">
        <v>350000</v>
      </c>
      <c r="F32" s="473">
        <f>D32*E32</f>
        <v>1641500.0000000002</v>
      </c>
      <c r="G32" s="902"/>
      <c r="H32" s="472">
        <f>$F$32*H26</f>
        <v>16415000.000000002</v>
      </c>
      <c r="I32" s="471">
        <f t="shared" ref="I32:L32" si="12">$F$32*I26</f>
        <v>16415000.000000002</v>
      </c>
      <c r="J32" s="471">
        <f t="shared" si="12"/>
        <v>16415000.000000002</v>
      </c>
      <c r="K32" s="471">
        <f t="shared" si="12"/>
        <v>16415000.000000002</v>
      </c>
      <c r="L32" s="470">
        <f t="shared" si="12"/>
        <v>8207500.0000000009</v>
      </c>
      <c r="M32" s="452"/>
      <c r="N32" s="452"/>
      <c r="O32" s="452"/>
      <c r="P32" s="452"/>
      <c r="Q32" s="452"/>
      <c r="R32" s="452"/>
      <c r="S32" s="452"/>
      <c r="T32" s="452"/>
      <c r="U32" s="452"/>
      <c r="V32" s="452"/>
      <c r="W32" s="452"/>
      <c r="X32" s="452"/>
      <c r="Y32" s="452"/>
      <c r="Z32" s="452"/>
      <c r="AA32" s="452"/>
      <c r="AB32" s="452"/>
      <c r="AC32" s="452"/>
      <c r="AD32" s="452"/>
      <c r="AE32" s="452"/>
      <c r="AF32" s="452"/>
      <c r="AG32" s="452"/>
      <c r="AH32" s="452"/>
      <c r="AI32" s="452"/>
      <c r="AJ32" s="452"/>
      <c r="AK32" s="452"/>
      <c r="AL32" s="452"/>
      <c r="AM32" s="452"/>
      <c r="AN32" s="452"/>
      <c r="AO32" s="452"/>
      <c r="AP32" s="452"/>
      <c r="AQ32" s="452"/>
      <c r="AR32" s="452"/>
      <c r="AS32" s="452"/>
      <c r="AT32" s="452"/>
      <c r="AU32" s="452"/>
    </row>
    <row r="33" spans="1:56">
      <c r="A33" s="452"/>
      <c r="B33" s="477" t="s">
        <v>520</v>
      </c>
      <c r="C33" s="476" t="s">
        <v>276</v>
      </c>
      <c r="D33" s="484"/>
      <c r="E33" s="529"/>
      <c r="F33" s="528"/>
      <c r="G33" s="902"/>
      <c r="H33" s="481"/>
      <c r="I33" s="480"/>
      <c r="J33" s="480"/>
      <c r="K33" s="480"/>
      <c r="L33" s="479"/>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c r="AM33" s="452"/>
      <c r="AN33" s="452"/>
      <c r="AO33" s="452"/>
      <c r="AP33" s="452"/>
      <c r="AQ33" s="452"/>
      <c r="AR33" s="452"/>
      <c r="AS33" s="452"/>
      <c r="AT33" s="452"/>
      <c r="AU33" s="452"/>
    </row>
    <row r="34" spans="1:56">
      <c r="A34" s="452"/>
      <c r="B34" s="477" t="s">
        <v>330</v>
      </c>
      <c r="C34" s="476" t="s">
        <v>276</v>
      </c>
      <c r="D34" s="475">
        <v>0.11</v>
      </c>
      <c r="E34" s="474">
        <v>350000</v>
      </c>
      <c r="F34" s="473">
        <f t="shared" ref="F34:F35" si="13">D34*E34</f>
        <v>38500</v>
      </c>
      <c r="G34" s="902"/>
      <c r="H34" s="472">
        <f>$F$34*H26</f>
        <v>385000</v>
      </c>
      <c r="I34" s="471">
        <f t="shared" ref="I34:L34" si="14">$F$34*I26</f>
        <v>385000</v>
      </c>
      <c r="J34" s="471">
        <f t="shared" si="14"/>
        <v>385000</v>
      </c>
      <c r="K34" s="471">
        <f t="shared" si="14"/>
        <v>385000</v>
      </c>
      <c r="L34" s="470">
        <f t="shared" si="14"/>
        <v>192500</v>
      </c>
      <c r="M34" s="452"/>
      <c r="N34" s="452"/>
      <c r="O34" s="452"/>
      <c r="P34" s="452"/>
      <c r="Q34" s="452"/>
      <c r="R34" s="452"/>
      <c r="S34" s="452"/>
      <c r="T34" s="452"/>
      <c r="U34" s="452"/>
      <c r="V34" s="452"/>
      <c r="W34" s="452"/>
      <c r="X34" s="452"/>
      <c r="Y34" s="452"/>
      <c r="Z34" s="452"/>
      <c r="AA34" s="452"/>
      <c r="AB34" s="452"/>
      <c r="AC34" s="452"/>
      <c r="AD34" s="452"/>
      <c r="AE34" s="452"/>
      <c r="AF34" s="452"/>
      <c r="AG34" s="452"/>
      <c r="AH34" s="452"/>
      <c r="AI34" s="452"/>
      <c r="AJ34" s="452"/>
      <c r="AK34" s="452"/>
      <c r="AL34" s="452"/>
      <c r="AM34" s="452"/>
      <c r="AN34" s="452"/>
      <c r="AO34" s="452"/>
      <c r="AP34" s="452"/>
      <c r="AQ34" s="452"/>
      <c r="AR34" s="452"/>
      <c r="AS34" s="452"/>
      <c r="AT34" s="452"/>
      <c r="AU34" s="452"/>
    </row>
    <row r="35" spans="1:56">
      <c r="A35" s="452"/>
      <c r="B35" s="477" t="s">
        <v>331</v>
      </c>
      <c r="C35" s="476" t="s">
        <v>276</v>
      </c>
      <c r="D35" s="475">
        <v>0.78</v>
      </c>
      <c r="E35" s="474">
        <v>350000</v>
      </c>
      <c r="F35" s="473">
        <f t="shared" si="13"/>
        <v>273000</v>
      </c>
      <c r="G35" s="902"/>
      <c r="H35" s="472">
        <f>$F$35*H26</f>
        <v>2730000</v>
      </c>
      <c r="I35" s="471">
        <f t="shared" ref="I35:L35" si="15">$F$35*I26</f>
        <v>2730000</v>
      </c>
      <c r="J35" s="471">
        <f t="shared" si="15"/>
        <v>2730000</v>
      </c>
      <c r="K35" s="471">
        <f t="shared" si="15"/>
        <v>2730000</v>
      </c>
      <c r="L35" s="470">
        <f t="shared" si="15"/>
        <v>1365000</v>
      </c>
      <c r="M35" s="452"/>
      <c r="N35" s="452"/>
      <c r="O35" s="452"/>
      <c r="P35" s="452"/>
      <c r="Q35" s="452"/>
      <c r="R35" s="452"/>
      <c r="S35" s="452"/>
      <c r="T35" s="452"/>
      <c r="U35" s="452"/>
      <c r="V35" s="452"/>
      <c r="W35" s="452"/>
      <c r="X35" s="452"/>
      <c r="Y35" s="452"/>
      <c r="Z35" s="452"/>
      <c r="AA35" s="452"/>
      <c r="AB35" s="452"/>
      <c r="AC35" s="452"/>
      <c r="AD35" s="452"/>
      <c r="AE35" s="452"/>
      <c r="AF35" s="452"/>
      <c r="AG35" s="452"/>
      <c r="AH35" s="452"/>
      <c r="AI35" s="452"/>
      <c r="AJ35" s="452"/>
      <c r="AK35" s="452"/>
      <c r="AL35" s="452"/>
      <c r="AM35" s="452"/>
      <c r="AN35" s="452"/>
      <c r="AO35" s="452"/>
      <c r="AP35" s="452"/>
      <c r="AQ35" s="452"/>
      <c r="AR35" s="452"/>
      <c r="AS35" s="452"/>
      <c r="AT35" s="452"/>
      <c r="AU35" s="452"/>
    </row>
    <row r="36" spans="1:56" ht="13.5" thickBot="1">
      <c r="A36" s="452"/>
      <c r="B36" s="469" t="s">
        <v>519</v>
      </c>
      <c r="C36" s="468" t="s">
        <v>276</v>
      </c>
      <c r="D36" s="527">
        <v>2</v>
      </c>
      <c r="E36" s="526">
        <v>350000</v>
      </c>
      <c r="F36" s="525">
        <f>D36*E36</f>
        <v>700000</v>
      </c>
      <c r="G36" s="902"/>
      <c r="H36" s="524">
        <f>$F$36*H26</f>
        <v>7000000</v>
      </c>
      <c r="I36" s="523">
        <f t="shared" ref="I36:L36" si="16">$F$36*I26</f>
        <v>7000000</v>
      </c>
      <c r="J36" s="523">
        <f t="shared" si="16"/>
        <v>7000000</v>
      </c>
      <c r="K36" s="523">
        <f t="shared" si="16"/>
        <v>7000000</v>
      </c>
      <c r="L36" s="522">
        <f t="shared" si="16"/>
        <v>3500000</v>
      </c>
      <c r="M36" s="452"/>
      <c r="N36" s="452"/>
      <c r="O36" s="452"/>
      <c r="P36" s="452"/>
      <c r="Q36" s="452"/>
      <c r="R36" s="452"/>
      <c r="S36" s="452"/>
      <c r="T36" s="452"/>
      <c r="U36" s="452"/>
      <c r="V36" s="452"/>
      <c r="W36" s="452"/>
      <c r="X36" s="452"/>
      <c r="Y36" s="452"/>
      <c r="Z36" s="452"/>
      <c r="AA36" s="452"/>
      <c r="AB36" s="452"/>
      <c r="AC36" s="452"/>
      <c r="AD36" s="452"/>
      <c r="AE36" s="452"/>
      <c r="AF36" s="452"/>
      <c r="AG36" s="452"/>
      <c r="AH36" s="452"/>
      <c r="AI36" s="452"/>
      <c r="AJ36" s="452"/>
      <c r="AK36" s="452"/>
      <c r="AL36" s="452"/>
      <c r="AM36" s="452"/>
      <c r="AN36" s="452"/>
      <c r="AO36" s="452"/>
      <c r="AP36" s="452"/>
      <c r="AQ36" s="452"/>
      <c r="AR36" s="452"/>
      <c r="AS36" s="452"/>
      <c r="AT36" s="452"/>
      <c r="AU36" s="452"/>
    </row>
    <row r="37" spans="1:56" ht="13.5" thickTop="1">
      <c r="A37" s="452"/>
      <c r="B37" s="461" t="s">
        <v>518</v>
      </c>
      <c r="C37" s="590" t="s">
        <v>276</v>
      </c>
      <c r="D37" s="521"/>
      <c r="E37" s="521"/>
      <c r="F37" s="517"/>
      <c r="G37" s="902"/>
      <c r="H37" s="519"/>
      <c r="I37" s="518"/>
      <c r="J37" s="518"/>
      <c r="K37" s="518"/>
      <c r="L37" s="517"/>
      <c r="M37" s="452"/>
      <c r="N37" s="452"/>
      <c r="O37" s="452"/>
      <c r="P37" s="452"/>
      <c r="Q37" s="452"/>
      <c r="R37" s="452"/>
      <c r="S37" s="452"/>
      <c r="T37" s="452"/>
      <c r="U37" s="452"/>
      <c r="V37" s="452"/>
      <c r="W37" s="452"/>
      <c r="X37" s="452"/>
      <c r="Y37" s="452"/>
      <c r="Z37" s="452"/>
      <c r="AA37" s="452"/>
      <c r="AB37" s="452"/>
      <c r="AC37" s="452"/>
      <c r="AD37" s="452"/>
      <c r="AE37" s="452"/>
      <c r="AF37" s="452"/>
      <c r="AG37" s="452"/>
      <c r="AH37" s="452"/>
      <c r="AI37" s="452"/>
      <c r="AJ37" s="452"/>
      <c r="AK37" s="452"/>
      <c r="AL37" s="452"/>
      <c r="AM37" s="452"/>
      <c r="AN37" s="452"/>
      <c r="AO37" s="452"/>
      <c r="AP37" s="452"/>
      <c r="AQ37" s="452"/>
      <c r="AR37" s="452"/>
      <c r="AS37" s="452"/>
      <c r="AT37" s="452"/>
      <c r="AU37" s="452"/>
    </row>
    <row r="38" spans="1:56" ht="13.5" thickBot="1">
      <c r="A38" s="452"/>
      <c r="B38" s="451" t="s">
        <v>517</v>
      </c>
      <c r="C38" s="515" t="s">
        <v>276</v>
      </c>
      <c r="D38" s="591">
        <v>40000</v>
      </c>
      <c r="E38" s="582">
        <v>1</v>
      </c>
      <c r="F38" s="583">
        <f>D38*E38</f>
        <v>40000</v>
      </c>
      <c r="G38" s="903"/>
      <c r="H38" s="511">
        <f>$F$38*H26</f>
        <v>400000</v>
      </c>
      <c r="I38" s="510">
        <f t="shared" ref="I38:L38" si="17">$F$38*I26</f>
        <v>400000</v>
      </c>
      <c r="J38" s="510">
        <f t="shared" si="17"/>
        <v>400000</v>
      </c>
      <c r="K38" s="510">
        <f t="shared" si="17"/>
        <v>400000</v>
      </c>
      <c r="L38" s="509">
        <f t="shared" si="17"/>
        <v>200000</v>
      </c>
      <c r="M38" s="452"/>
      <c r="N38" s="452"/>
      <c r="O38" s="452"/>
      <c r="P38" s="452"/>
      <c r="Q38" s="452"/>
      <c r="R38" s="452"/>
      <c r="S38" s="452"/>
      <c r="T38" s="452"/>
      <c r="U38" s="452"/>
      <c r="V38" s="452"/>
      <c r="W38" s="452"/>
      <c r="X38" s="452"/>
      <c r="Y38" s="452"/>
      <c r="Z38" s="452"/>
      <c r="AA38" s="452"/>
      <c r="AB38" s="452"/>
      <c r="AC38" s="452"/>
      <c r="AD38" s="452"/>
      <c r="AE38" s="452"/>
      <c r="AF38" s="452"/>
      <c r="AG38" s="452"/>
      <c r="AH38" s="452"/>
      <c r="AI38" s="452"/>
      <c r="AJ38" s="452"/>
      <c r="AK38" s="452"/>
      <c r="AL38" s="452"/>
      <c r="AM38" s="452"/>
      <c r="AN38" s="452"/>
      <c r="AO38" s="452"/>
      <c r="AP38" s="452"/>
      <c r="AQ38" s="452"/>
      <c r="AR38" s="452"/>
      <c r="AS38" s="452"/>
      <c r="AT38" s="452"/>
      <c r="AU38" s="452"/>
    </row>
    <row r="39" spans="1:56">
      <c r="A39" s="452"/>
      <c r="B39" s="558"/>
      <c r="C39" s="558"/>
      <c r="D39" s="558"/>
      <c r="E39" s="558"/>
      <c r="F39" s="558"/>
      <c r="G39" s="558"/>
      <c r="H39" s="452"/>
      <c r="I39" s="554"/>
      <c r="J39" s="452"/>
      <c r="K39" s="452"/>
      <c r="L39" s="508"/>
      <c r="M39" s="452"/>
      <c r="N39" s="452"/>
      <c r="O39" s="452"/>
      <c r="P39" s="452"/>
      <c r="Q39" s="452"/>
      <c r="R39" s="452"/>
      <c r="S39" s="452"/>
      <c r="T39" s="452"/>
      <c r="U39" s="452"/>
      <c r="V39" s="452"/>
      <c r="W39" s="452"/>
      <c r="X39" s="452"/>
      <c r="Y39" s="452"/>
      <c r="Z39" s="452"/>
      <c r="AA39" s="452"/>
      <c r="AB39" s="452"/>
      <c r="AC39" s="452"/>
      <c r="AD39" s="452"/>
      <c r="AE39" s="452"/>
      <c r="AF39" s="452"/>
      <c r="AG39" s="452"/>
      <c r="AH39" s="452"/>
      <c r="AI39" s="452"/>
      <c r="AJ39" s="452"/>
      <c r="AK39" s="452"/>
      <c r="AL39" s="452"/>
      <c r="AM39" s="452"/>
      <c r="AN39" s="452"/>
      <c r="AO39" s="452"/>
      <c r="AP39" s="452"/>
      <c r="AQ39" s="452"/>
      <c r="AR39" s="452"/>
      <c r="AS39" s="452"/>
      <c r="AT39" s="452"/>
      <c r="AU39" s="452"/>
    </row>
    <row r="40" spans="1:56" ht="13.5" thickBot="1">
      <c r="A40" s="452"/>
      <c r="B40" s="452"/>
      <c r="C40" s="452"/>
      <c r="D40" s="452"/>
      <c r="E40" s="452"/>
      <c r="F40" s="452"/>
      <c r="G40" s="452"/>
      <c r="H40" s="452"/>
      <c r="I40" s="452"/>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c r="AL40" s="452"/>
      <c r="AM40" s="452"/>
      <c r="AN40" s="452"/>
      <c r="AO40" s="452"/>
      <c r="AP40" s="452"/>
      <c r="AQ40" s="452"/>
      <c r="AR40" s="452"/>
      <c r="AS40" s="452"/>
      <c r="AT40" s="452"/>
      <c r="AU40" s="452"/>
    </row>
    <row r="41" spans="1:56">
      <c r="A41" s="452"/>
      <c r="B41" s="892" t="s">
        <v>724</v>
      </c>
      <c r="C41" s="507" t="s">
        <v>535</v>
      </c>
      <c r="D41" s="897" t="s">
        <v>531</v>
      </c>
      <c r="E41" s="897" t="s">
        <v>530</v>
      </c>
      <c r="F41" s="916" t="s">
        <v>529</v>
      </c>
      <c r="G41" s="506" t="s">
        <v>528</v>
      </c>
      <c r="H41" s="505">
        <v>2023</v>
      </c>
      <c r="I41" s="504">
        <f>H41+1</f>
        <v>2024</v>
      </c>
      <c r="J41" s="504">
        <f>I41+1</f>
        <v>2025</v>
      </c>
      <c r="K41" s="504">
        <f t="shared" ref="K41:AI41" si="18">J41+1</f>
        <v>2026</v>
      </c>
      <c r="L41" s="504">
        <f t="shared" si="18"/>
        <v>2027</v>
      </c>
      <c r="M41" s="504">
        <f t="shared" si="18"/>
        <v>2028</v>
      </c>
      <c r="N41" s="504">
        <f t="shared" si="18"/>
        <v>2029</v>
      </c>
      <c r="O41" s="504">
        <f t="shared" si="18"/>
        <v>2030</v>
      </c>
      <c r="P41" s="504">
        <f t="shared" si="18"/>
        <v>2031</v>
      </c>
      <c r="Q41" s="504">
        <f t="shared" si="18"/>
        <v>2032</v>
      </c>
      <c r="R41" s="504">
        <f t="shared" si="18"/>
        <v>2033</v>
      </c>
      <c r="S41" s="504">
        <f t="shared" si="18"/>
        <v>2034</v>
      </c>
      <c r="T41" s="504">
        <f t="shared" si="18"/>
        <v>2035</v>
      </c>
      <c r="U41" s="504">
        <f t="shared" si="18"/>
        <v>2036</v>
      </c>
      <c r="V41" s="504">
        <f t="shared" si="18"/>
        <v>2037</v>
      </c>
      <c r="W41" s="504">
        <f t="shared" si="18"/>
        <v>2038</v>
      </c>
      <c r="X41" s="504">
        <f t="shared" si="18"/>
        <v>2039</v>
      </c>
      <c r="Y41" s="504">
        <f t="shared" si="18"/>
        <v>2040</v>
      </c>
      <c r="Z41" s="504">
        <f t="shared" si="18"/>
        <v>2041</v>
      </c>
      <c r="AA41" s="504">
        <f t="shared" si="18"/>
        <v>2042</v>
      </c>
      <c r="AB41" s="504">
        <f t="shared" si="18"/>
        <v>2043</v>
      </c>
      <c r="AC41" s="504">
        <f t="shared" si="18"/>
        <v>2044</v>
      </c>
      <c r="AD41" s="504">
        <f t="shared" si="18"/>
        <v>2045</v>
      </c>
      <c r="AE41" s="504">
        <f t="shared" si="18"/>
        <v>2046</v>
      </c>
      <c r="AF41" s="504">
        <f t="shared" si="18"/>
        <v>2047</v>
      </c>
      <c r="AG41" s="504">
        <f t="shared" si="18"/>
        <v>2048</v>
      </c>
      <c r="AH41" s="504">
        <f t="shared" si="18"/>
        <v>2049</v>
      </c>
      <c r="AI41" s="504">
        <f t="shared" si="18"/>
        <v>2050</v>
      </c>
      <c r="AJ41" s="504">
        <f>AI41+1</f>
        <v>2051</v>
      </c>
      <c r="AK41" s="504">
        <f>AJ41+1</f>
        <v>2052</v>
      </c>
      <c r="AL41" s="452"/>
      <c r="AM41" s="452"/>
      <c r="AN41" s="452"/>
      <c r="AO41" s="452"/>
      <c r="AP41" s="452"/>
      <c r="AQ41" s="452"/>
      <c r="AR41" s="452"/>
      <c r="AS41" s="452"/>
      <c r="AT41" s="452"/>
      <c r="AU41" s="452"/>
    </row>
    <row r="42" spans="1:56" ht="12.95" customHeight="1">
      <c r="A42" s="452"/>
      <c r="B42" s="893"/>
      <c r="C42" s="503" t="s">
        <v>534</v>
      </c>
      <c r="D42" s="898"/>
      <c r="E42" s="898"/>
      <c r="F42" s="917"/>
      <c r="G42" s="502" t="s">
        <v>526</v>
      </c>
      <c r="H42" s="541"/>
      <c r="I42" s="501"/>
      <c r="J42" s="501">
        <v>2</v>
      </c>
      <c r="K42" s="501">
        <v>10</v>
      </c>
      <c r="L42" s="501">
        <v>18</v>
      </c>
      <c r="M42" s="501">
        <v>23</v>
      </c>
      <c r="N42" s="501">
        <v>23</v>
      </c>
      <c r="O42" s="501">
        <v>23</v>
      </c>
      <c r="P42" s="501">
        <v>23</v>
      </c>
      <c r="Q42" s="501">
        <v>23</v>
      </c>
      <c r="R42" s="501">
        <v>23</v>
      </c>
      <c r="S42" s="501">
        <v>23</v>
      </c>
      <c r="T42" s="501">
        <v>23</v>
      </c>
      <c r="U42" s="501">
        <v>23</v>
      </c>
      <c r="V42" s="501">
        <v>23</v>
      </c>
      <c r="W42" s="501">
        <v>23</v>
      </c>
      <c r="X42" s="501">
        <v>23</v>
      </c>
      <c r="Y42" s="501">
        <v>23</v>
      </c>
      <c r="Z42" s="501">
        <v>23</v>
      </c>
      <c r="AA42" s="501">
        <v>23</v>
      </c>
      <c r="AB42" s="501">
        <v>23</v>
      </c>
      <c r="AC42" s="501">
        <v>23</v>
      </c>
      <c r="AD42" s="501">
        <v>23</v>
      </c>
      <c r="AE42" s="501">
        <v>23</v>
      </c>
      <c r="AF42" s="501">
        <v>23</v>
      </c>
      <c r="AG42" s="501">
        <v>23</v>
      </c>
      <c r="AH42" s="501">
        <v>23</v>
      </c>
      <c r="AI42" s="501">
        <v>23</v>
      </c>
      <c r="AJ42" s="501">
        <v>23</v>
      </c>
      <c r="AK42" s="501">
        <v>23</v>
      </c>
      <c r="AL42" s="452"/>
      <c r="AM42" s="452"/>
      <c r="AN42" s="452"/>
      <c r="AO42" s="452"/>
      <c r="AP42" s="452"/>
      <c r="AQ42" s="452"/>
      <c r="AR42" s="452"/>
      <c r="AS42" s="452"/>
      <c r="AT42" s="452"/>
      <c r="AU42" s="452"/>
    </row>
    <row r="43" spans="1:56" ht="12.95" customHeight="1" thickBot="1">
      <c r="A43" s="452"/>
      <c r="B43" s="500" t="s">
        <v>525</v>
      </c>
      <c r="C43" s="499">
        <f>350*1000</f>
        <v>350000</v>
      </c>
      <c r="D43" s="899"/>
      <c r="E43" s="899"/>
      <c r="F43" s="918"/>
      <c r="G43" s="498" t="s">
        <v>524</v>
      </c>
      <c r="H43" s="540"/>
      <c r="I43" s="497"/>
      <c r="J43" s="497">
        <v>2</v>
      </c>
      <c r="K43" s="497">
        <v>10</v>
      </c>
      <c r="L43" s="497">
        <v>18</v>
      </c>
      <c r="M43" s="497">
        <v>23</v>
      </c>
      <c r="N43" s="497">
        <v>23</v>
      </c>
      <c r="O43" s="497">
        <v>23</v>
      </c>
      <c r="P43" s="497">
        <v>23</v>
      </c>
      <c r="Q43" s="497">
        <v>23</v>
      </c>
      <c r="R43" s="497">
        <v>23</v>
      </c>
      <c r="S43" s="497">
        <v>23</v>
      </c>
      <c r="T43" s="497">
        <v>23</v>
      </c>
      <c r="U43" s="497">
        <v>23</v>
      </c>
      <c r="V43" s="497">
        <v>23</v>
      </c>
      <c r="W43" s="497">
        <v>23</v>
      </c>
      <c r="X43" s="497">
        <v>23</v>
      </c>
      <c r="Y43" s="497">
        <v>23</v>
      </c>
      <c r="Z43" s="497">
        <v>23</v>
      </c>
      <c r="AA43" s="497">
        <v>23</v>
      </c>
      <c r="AB43" s="497">
        <v>23</v>
      </c>
      <c r="AC43" s="497">
        <v>23</v>
      </c>
      <c r="AD43" s="497">
        <v>23</v>
      </c>
      <c r="AE43" s="497">
        <v>23</v>
      </c>
      <c r="AF43" s="497">
        <v>23</v>
      </c>
      <c r="AG43" s="497">
        <v>23</v>
      </c>
      <c r="AH43" s="497">
        <v>23</v>
      </c>
      <c r="AI43" s="497">
        <v>23</v>
      </c>
      <c r="AJ43" s="497">
        <v>23</v>
      </c>
      <c r="AK43" s="497">
        <v>23</v>
      </c>
      <c r="AL43" s="452"/>
      <c r="AM43" s="452"/>
      <c r="AN43" s="452"/>
      <c r="AO43" s="452"/>
      <c r="AP43" s="452"/>
      <c r="AQ43" s="452"/>
      <c r="AR43" s="452"/>
      <c r="AS43" s="452"/>
      <c r="AT43" s="452"/>
      <c r="AU43" s="452"/>
    </row>
    <row r="44" spans="1:56" ht="12.6" customHeight="1">
      <c r="A44" s="485"/>
      <c r="B44" s="496" t="s">
        <v>523</v>
      </c>
      <c r="C44" s="495" t="s">
        <v>276</v>
      </c>
      <c r="D44" s="539"/>
      <c r="E44" s="539"/>
      <c r="F44" s="538"/>
      <c r="G44" s="902"/>
      <c r="H44" s="537"/>
      <c r="I44" s="536"/>
      <c r="J44" s="536"/>
      <c r="K44" s="536"/>
      <c r="L44" s="536"/>
      <c r="M44" s="536"/>
      <c r="N44" s="536"/>
      <c r="O44" s="536"/>
      <c r="P44" s="536"/>
      <c r="Q44" s="536"/>
      <c r="R44" s="536"/>
      <c r="S44" s="536"/>
      <c r="T44" s="536"/>
      <c r="U44" s="536"/>
      <c r="V44" s="536"/>
      <c r="W44" s="536"/>
      <c r="X44" s="536"/>
      <c r="Y44" s="536"/>
      <c r="Z44" s="536"/>
      <c r="AA44" s="536"/>
      <c r="AB44" s="536"/>
      <c r="AC44" s="536"/>
      <c r="AD44" s="536"/>
      <c r="AE44" s="536"/>
      <c r="AF44" s="536"/>
      <c r="AG44" s="536"/>
      <c r="AH44" s="536"/>
      <c r="AI44" s="536"/>
      <c r="AJ44" s="536"/>
      <c r="AK44" s="535"/>
      <c r="AL44" s="452"/>
      <c r="AM44" s="452"/>
      <c r="AN44" s="452"/>
      <c r="AO44" s="452"/>
      <c r="AP44" s="452"/>
      <c r="AQ44" s="452"/>
      <c r="AR44" s="452"/>
      <c r="AS44" s="452"/>
      <c r="AT44" s="452"/>
      <c r="AU44" s="452"/>
    </row>
    <row r="45" spans="1:56">
      <c r="A45" s="452"/>
      <c r="B45" s="477" t="s">
        <v>522</v>
      </c>
      <c r="C45" s="476" t="s">
        <v>276</v>
      </c>
      <c r="D45" s="534"/>
      <c r="E45" s="534"/>
      <c r="F45" s="533"/>
      <c r="G45" s="902"/>
      <c r="H45" s="532"/>
      <c r="I45" s="531"/>
      <c r="J45" s="531"/>
      <c r="K45" s="531"/>
      <c r="L45" s="531"/>
      <c r="M45" s="531"/>
      <c r="N45" s="531"/>
      <c r="O45" s="531"/>
      <c r="P45" s="531"/>
      <c r="Q45" s="531"/>
      <c r="R45" s="531"/>
      <c r="S45" s="531"/>
      <c r="T45" s="531"/>
      <c r="U45" s="531"/>
      <c r="V45" s="531"/>
      <c r="W45" s="531"/>
      <c r="X45" s="531"/>
      <c r="Y45" s="531"/>
      <c r="Z45" s="531"/>
      <c r="AA45" s="531"/>
      <c r="AB45" s="531"/>
      <c r="AC45" s="531"/>
      <c r="AD45" s="531"/>
      <c r="AE45" s="531"/>
      <c r="AF45" s="531"/>
      <c r="AG45" s="531"/>
      <c r="AH45" s="531"/>
      <c r="AI45" s="531"/>
      <c r="AJ45" s="531"/>
      <c r="AK45" s="530"/>
      <c r="AL45" s="485"/>
      <c r="AM45" s="485"/>
      <c r="AN45" s="485"/>
      <c r="AO45" s="452"/>
      <c r="AP45" s="452"/>
      <c r="AQ45" s="452"/>
      <c r="AR45" s="452"/>
      <c r="AS45" s="452"/>
      <c r="AT45" s="452"/>
      <c r="AU45" s="452"/>
      <c r="BC45" s="429"/>
      <c r="BD45" s="429"/>
    </row>
    <row r="46" spans="1:56">
      <c r="A46" s="452"/>
      <c r="B46" s="477" t="s">
        <v>521</v>
      </c>
      <c r="C46" s="476" t="s">
        <v>276</v>
      </c>
      <c r="D46" s="475">
        <v>0.04</v>
      </c>
      <c r="E46" s="529">
        <f>C43</f>
        <v>350000</v>
      </c>
      <c r="F46" s="473">
        <f>D46*E46</f>
        <v>14000</v>
      </c>
      <c r="G46" s="902"/>
      <c r="H46" s="472">
        <f>$F$46*H42</f>
        <v>0</v>
      </c>
      <c r="I46" s="471">
        <f t="shared" ref="I46:AK46" si="19">$F$46*I42</f>
        <v>0</v>
      </c>
      <c r="J46" s="471">
        <f t="shared" si="19"/>
        <v>28000</v>
      </c>
      <c r="K46" s="471">
        <f t="shared" si="19"/>
        <v>140000</v>
      </c>
      <c r="L46" s="471">
        <f t="shared" si="19"/>
        <v>252000</v>
      </c>
      <c r="M46" s="471">
        <f t="shared" si="19"/>
        <v>322000</v>
      </c>
      <c r="N46" s="471">
        <f t="shared" si="19"/>
        <v>322000</v>
      </c>
      <c r="O46" s="471">
        <f t="shared" si="19"/>
        <v>322000</v>
      </c>
      <c r="P46" s="471">
        <f t="shared" si="19"/>
        <v>322000</v>
      </c>
      <c r="Q46" s="471">
        <f t="shared" si="19"/>
        <v>322000</v>
      </c>
      <c r="R46" s="471">
        <f t="shared" si="19"/>
        <v>322000</v>
      </c>
      <c r="S46" s="471">
        <f t="shared" si="19"/>
        <v>322000</v>
      </c>
      <c r="T46" s="471">
        <f t="shared" si="19"/>
        <v>322000</v>
      </c>
      <c r="U46" s="471">
        <f t="shared" si="19"/>
        <v>322000</v>
      </c>
      <c r="V46" s="471">
        <f t="shared" si="19"/>
        <v>322000</v>
      </c>
      <c r="W46" s="471">
        <f t="shared" si="19"/>
        <v>322000</v>
      </c>
      <c r="X46" s="471">
        <f t="shared" si="19"/>
        <v>322000</v>
      </c>
      <c r="Y46" s="471">
        <f t="shared" si="19"/>
        <v>322000</v>
      </c>
      <c r="Z46" s="471">
        <f t="shared" si="19"/>
        <v>322000</v>
      </c>
      <c r="AA46" s="471">
        <f t="shared" si="19"/>
        <v>322000</v>
      </c>
      <c r="AB46" s="471">
        <f t="shared" si="19"/>
        <v>322000</v>
      </c>
      <c r="AC46" s="471">
        <f t="shared" si="19"/>
        <v>322000</v>
      </c>
      <c r="AD46" s="471">
        <f t="shared" si="19"/>
        <v>322000</v>
      </c>
      <c r="AE46" s="471">
        <f t="shared" si="19"/>
        <v>322000</v>
      </c>
      <c r="AF46" s="471">
        <f t="shared" si="19"/>
        <v>322000</v>
      </c>
      <c r="AG46" s="471">
        <f t="shared" si="19"/>
        <v>322000</v>
      </c>
      <c r="AH46" s="471">
        <f t="shared" si="19"/>
        <v>322000</v>
      </c>
      <c r="AI46" s="471">
        <f t="shared" si="19"/>
        <v>322000</v>
      </c>
      <c r="AJ46" s="471">
        <f t="shared" si="19"/>
        <v>322000</v>
      </c>
      <c r="AK46" s="470">
        <f t="shared" si="19"/>
        <v>322000</v>
      </c>
      <c r="AL46" s="452"/>
      <c r="AM46" s="452"/>
      <c r="AN46" s="452"/>
      <c r="AO46" s="485"/>
      <c r="AP46" s="452"/>
      <c r="AQ46" s="452"/>
      <c r="AR46" s="452"/>
      <c r="AS46" s="452"/>
      <c r="AT46" s="452"/>
      <c r="AU46" s="452"/>
      <c r="BC46" s="429"/>
      <c r="BD46" s="429"/>
    </row>
    <row r="47" spans="1:56" s="429" customFormat="1">
      <c r="A47" s="452"/>
      <c r="B47" s="477" t="s">
        <v>284</v>
      </c>
      <c r="C47" s="476" t="s">
        <v>276</v>
      </c>
      <c r="D47" s="484"/>
      <c r="E47" s="529"/>
      <c r="F47" s="528"/>
      <c r="G47" s="902"/>
      <c r="H47" s="532"/>
      <c r="I47" s="531"/>
      <c r="J47" s="531"/>
      <c r="K47" s="531"/>
      <c r="L47" s="531"/>
      <c r="M47" s="531"/>
      <c r="N47" s="531"/>
      <c r="O47" s="531"/>
      <c r="P47" s="531"/>
      <c r="Q47" s="531"/>
      <c r="R47" s="531"/>
      <c r="S47" s="531"/>
      <c r="T47" s="531"/>
      <c r="U47" s="531"/>
      <c r="V47" s="531"/>
      <c r="W47" s="531"/>
      <c r="X47" s="531"/>
      <c r="Y47" s="531"/>
      <c r="Z47" s="531"/>
      <c r="AA47" s="531"/>
      <c r="AB47" s="531"/>
      <c r="AC47" s="531"/>
      <c r="AD47" s="531"/>
      <c r="AE47" s="531"/>
      <c r="AF47" s="531"/>
      <c r="AG47" s="531"/>
      <c r="AH47" s="531"/>
      <c r="AI47" s="531"/>
      <c r="AJ47" s="531"/>
      <c r="AK47" s="530"/>
      <c r="AL47" s="452"/>
      <c r="AM47" s="452"/>
      <c r="AN47" s="452"/>
      <c r="AO47" s="452"/>
      <c r="AP47" s="485"/>
      <c r="AQ47" s="485"/>
      <c r="AR47" s="485"/>
      <c r="AS47" s="485"/>
      <c r="AT47" s="485"/>
      <c r="AU47" s="485"/>
    </row>
    <row r="48" spans="1:56" s="429" customFormat="1">
      <c r="A48" s="452"/>
      <c r="B48" s="477" t="s">
        <v>287</v>
      </c>
      <c r="C48" s="476" t="s">
        <v>276</v>
      </c>
      <c r="D48" s="475">
        <v>4.6900000000000004</v>
      </c>
      <c r="E48" s="529">
        <f>C43</f>
        <v>350000</v>
      </c>
      <c r="F48" s="473">
        <f>D48*E48</f>
        <v>1641500.0000000002</v>
      </c>
      <c r="G48" s="902"/>
      <c r="H48" s="472">
        <f>$F$48*H42</f>
        <v>0</v>
      </c>
      <c r="I48" s="471">
        <f t="shared" ref="I48:AK48" si="20">$F$48*I42</f>
        <v>0</v>
      </c>
      <c r="J48" s="471">
        <f t="shared" si="20"/>
        <v>3283000.0000000005</v>
      </c>
      <c r="K48" s="471">
        <f t="shared" si="20"/>
        <v>16415000.000000002</v>
      </c>
      <c r="L48" s="471">
        <f t="shared" si="20"/>
        <v>29547000.000000004</v>
      </c>
      <c r="M48" s="471">
        <f t="shared" si="20"/>
        <v>37754500.000000007</v>
      </c>
      <c r="N48" s="471">
        <f t="shared" si="20"/>
        <v>37754500.000000007</v>
      </c>
      <c r="O48" s="471">
        <f t="shared" si="20"/>
        <v>37754500.000000007</v>
      </c>
      <c r="P48" s="471">
        <f t="shared" si="20"/>
        <v>37754500.000000007</v>
      </c>
      <c r="Q48" s="471">
        <f t="shared" si="20"/>
        <v>37754500.000000007</v>
      </c>
      <c r="R48" s="471">
        <f t="shared" si="20"/>
        <v>37754500.000000007</v>
      </c>
      <c r="S48" s="471">
        <f t="shared" si="20"/>
        <v>37754500.000000007</v>
      </c>
      <c r="T48" s="471">
        <f t="shared" si="20"/>
        <v>37754500.000000007</v>
      </c>
      <c r="U48" s="471">
        <f t="shared" si="20"/>
        <v>37754500.000000007</v>
      </c>
      <c r="V48" s="471">
        <f t="shared" si="20"/>
        <v>37754500.000000007</v>
      </c>
      <c r="W48" s="471">
        <f t="shared" si="20"/>
        <v>37754500.000000007</v>
      </c>
      <c r="X48" s="471">
        <f t="shared" si="20"/>
        <v>37754500.000000007</v>
      </c>
      <c r="Y48" s="471">
        <f t="shared" si="20"/>
        <v>37754500.000000007</v>
      </c>
      <c r="Z48" s="471">
        <f t="shared" si="20"/>
        <v>37754500.000000007</v>
      </c>
      <c r="AA48" s="471">
        <f t="shared" si="20"/>
        <v>37754500.000000007</v>
      </c>
      <c r="AB48" s="471">
        <f t="shared" si="20"/>
        <v>37754500.000000007</v>
      </c>
      <c r="AC48" s="471">
        <f t="shared" si="20"/>
        <v>37754500.000000007</v>
      </c>
      <c r="AD48" s="471">
        <f t="shared" si="20"/>
        <v>37754500.000000007</v>
      </c>
      <c r="AE48" s="471">
        <f t="shared" si="20"/>
        <v>37754500.000000007</v>
      </c>
      <c r="AF48" s="471">
        <f t="shared" si="20"/>
        <v>37754500.000000007</v>
      </c>
      <c r="AG48" s="471">
        <f t="shared" si="20"/>
        <v>37754500.000000007</v>
      </c>
      <c r="AH48" s="471">
        <f t="shared" si="20"/>
        <v>37754500.000000007</v>
      </c>
      <c r="AI48" s="471">
        <f t="shared" si="20"/>
        <v>37754500.000000007</v>
      </c>
      <c r="AJ48" s="471">
        <f t="shared" si="20"/>
        <v>37754500.000000007</v>
      </c>
      <c r="AK48" s="470">
        <f t="shared" si="20"/>
        <v>37754500.000000007</v>
      </c>
      <c r="AL48" s="452"/>
      <c r="AM48" s="452"/>
      <c r="AN48" s="452"/>
      <c r="AO48" s="452"/>
      <c r="AP48" s="452"/>
      <c r="AQ48" s="452"/>
      <c r="AR48" s="452"/>
      <c r="AS48" s="452"/>
      <c r="AT48" s="452"/>
      <c r="AU48" s="452"/>
      <c r="AV48" s="428"/>
      <c r="AW48" s="428"/>
      <c r="AX48" s="428"/>
      <c r="AY48" s="428"/>
      <c r="AZ48" s="428"/>
      <c r="BA48" s="428"/>
      <c r="BB48" s="428"/>
      <c r="BC48" s="428"/>
      <c r="BD48" s="428"/>
    </row>
    <row r="49" spans="1:56" s="429" customFormat="1">
      <c r="A49" s="452"/>
      <c r="B49" s="477" t="s">
        <v>520</v>
      </c>
      <c r="C49" s="476" t="s">
        <v>276</v>
      </c>
      <c r="D49" s="484"/>
      <c r="E49" s="529"/>
      <c r="F49" s="528"/>
      <c r="G49" s="902"/>
      <c r="H49" s="481"/>
      <c r="I49" s="480"/>
      <c r="J49" s="480"/>
      <c r="K49" s="480"/>
      <c r="L49" s="480"/>
      <c r="M49" s="480"/>
      <c r="N49" s="480"/>
      <c r="O49" s="480"/>
      <c r="P49" s="480"/>
      <c r="Q49" s="480"/>
      <c r="R49" s="480"/>
      <c r="S49" s="480"/>
      <c r="T49" s="480"/>
      <c r="U49" s="480"/>
      <c r="V49" s="480"/>
      <c r="W49" s="480"/>
      <c r="X49" s="480"/>
      <c r="Y49" s="480"/>
      <c r="Z49" s="480"/>
      <c r="AA49" s="480"/>
      <c r="AB49" s="480"/>
      <c r="AC49" s="480"/>
      <c r="AD49" s="480"/>
      <c r="AE49" s="480"/>
      <c r="AF49" s="480"/>
      <c r="AG49" s="480"/>
      <c r="AH49" s="480"/>
      <c r="AI49" s="480"/>
      <c r="AJ49" s="480"/>
      <c r="AK49" s="479"/>
      <c r="AL49" s="452"/>
      <c r="AM49" s="452"/>
      <c r="AN49" s="452"/>
      <c r="AO49" s="452"/>
      <c r="AP49" s="452"/>
      <c r="AQ49" s="452"/>
      <c r="AR49" s="452"/>
      <c r="AS49" s="452"/>
      <c r="AT49" s="452"/>
      <c r="AU49" s="452"/>
      <c r="AV49" s="428"/>
      <c r="AW49" s="428"/>
      <c r="AX49" s="428"/>
      <c r="AY49" s="428"/>
      <c r="AZ49" s="428"/>
      <c r="BA49" s="428"/>
      <c r="BB49" s="428"/>
      <c r="BC49" s="428"/>
      <c r="BD49" s="428"/>
    </row>
    <row r="50" spans="1:56">
      <c r="A50" s="452"/>
      <c r="B50" s="477" t="s">
        <v>330</v>
      </c>
      <c r="C50" s="476" t="s">
        <v>276</v>
      </c>
      <c r="D50" s="475">
        <v>0.11</v>
      </c>
      <c r="E50" s="529">
        <f>C43</f>
        <v>350000</v>
      </c>
      <c r="F50" s="473">
        <f t="shared" ref="F50:F51" si="21">D50*E50</f>
        <v>38500</v>
      </c>
      <c r="G50" s="902"/>
      <c r="H50" s="472">
        <f>$F$50*H42</f>
        <v>0</v>
      </c>
      <c r="I50" s="471">
        <f t="shared" ref="I50:AK50" si="22">$F$50*I42</f>
        <v>0</v>
      </c>
      <c r="J50" s="471">
        <f t="shared" si="22"/>
        <v>77000</v>
      </c>
      <c r="K50" s="471">
        <f t="shared" si="22"/>
        <v>385000</v>
      </c>
      <c r="L50" s="471">
        <f t="shared" si="22"/>
        <v>693000</v>
      </c>
      <c r="M50" s="471">
        <f t="shared" si="22"/>
        <v>885500</v>
      </c>
      <c r="N50" s="471">
        <f t="shared" si="22"/>
        <v>885500</v>
      </c>
      <c r="O50" s="471">
        <f t="shared" si="22"/>
        <v>885500</v>
      </c>
      <c r="P50" s="471">
        <f t="shared" si="22"/>
        <v>885500</v>
      </c>
      <c r="Q50" s="471">
        <f t="shared" si="22"/>
        <v>885500</v>
      </c>
      <c r="R50" s="471">
        <f t="shared" si="22"/>
        <v>885500</v>
      </c>
      <c r="S50" s="471">
        <f t="shared" si="22"/>
        <v>885500</v>
      </c>
      <c r="T50" s="471">
        <f t="shared" si="22"/>
        <v>885500</v>
      </c>
      <c r="U50" s="471">
        <f t="shared" si="22"/>
        <v>885500</v>
      </c>
      <c r="V50" s="471">
        <f t="shared" si="22"/>
        <v>885500</v>
      </c>
      <c r="W50" s="471">
        <f t="shared" si="22"/>
        <v>885500</v>
      </c>
      <c r="X50" s="471">
        <f t="shared" si="22"/>
        <v>885500</v>
      </c>
      <c r="Y50" s="471">
        <f t="shared" si="22"/>
        <v>885500</v>
      </c>
      <c r="Z50" s="471">
        <f t="shared" si="22"/>
        <v>885500</v>
      </c>
      <c r="AA50" s="471">
        <f t="shared" si="22"/>
        <v>885500</v>
      </c>
      <c r="AB50" s="471">
        <f t="shared" si="22"/>
        <v>885500</v>
      </c>
      <c r="AC50" s="471">
        <f t="shared" si="22"/>
        <v>885500</v>
      </c>
      <c r="AD50" s="471">
        <f t="shared" si="22"/>
        <v>885500</v>
      </c>
      <c r="AE50" s="471">
        <f t="shared" si="22"/>
        <v>885500</v>
      </c>
      <c r="AF50" s="471">
        <f t="shared" si="22"/>
        <v>885500</v>
      </c>
      <c r="AG50" s="471">
        <f t="shared" si="22"/>
        <v>885500</v>
      </c>
      <c r="AH50" s="471">
        <f t="shared" si="22"/>
        <v>885500</v>
      </c>
      <c r="AI50" s="471">
        <f t="shared" si="22"/>
        <v>885500</v>
      </c>
      <c r="AJ50" s="471">
        <f t="shared" si="22"/>
        <v>885500</v>
      </c>
      <c r="AK50" s="470">
        <f t="shared" si="22"/>
        <v>885500</v>
      </c>
      <c r="AL50" s="452"/>
      <c r="AM50" s="452"/>
      <c r="AN50" s="452"/>
      <c r="AO50" s="452"/>
      <c r="AP50" s="452"/>
      <c r="AQ50" s="452"/>
      <c r="AR50" s="452"/>
      <c r="AS50" s="452"/>
      <c r="AT50" s="452"/>
      <c r="AU50" s="452"/>
    </row>
    <row r="51" spans="1:56">
      <c r="A51" s="452"/>
      <c r="B51" s="477" t="s">
        <v>331</v>
      </c>
      <c r="C51" s="476" t="s">
        <v>276</v>
      </c>
      <c r="D51" s="475">
        <v>0.78</v>
      </c>
      <c r="E51" s="529">
        <f>C43</f>
        <v>350000</v>
      </c>
      <c r="F51" s="473">
        <f t="shared" si="21"/>
        <v>273000</v>
      </c>
      <c r="G51" s="902"/>
      <c r="H51" s="472">
        <f>$F$51*H42</f>
        <v>0</v>
      </c>
      <c r="I51" s="471">
        <f t="shared" ref="I51:AK51" si="23">$F$51*I42</f>
        <v>0</v>
      </c>
      <c r="J51" s="471">
        <f t="shared" si="23"/>
        <v>546000</v>
      </c>
      <c r="K51" s="471">
        <f t="shared" si="23"/>
        <v>2730000</v>
      </c>
      <c r="L51" s="471">
        <f t="shared" si="23"/>
        <v>4914000</v>
      </c>
      <c r="M51" s="471">
        <f t="shared" si="23"/>
        <v>6279000</v>
      </c>
      <c r="N51" s="471">
        <f t="shared" si="23"/>
        <v>6279000</v>
      </c>
      <c r="O51" s="471">
        <f t="shared" si="23"/>
        <v>6279000</v>
      </c>
      <c r="P51" s="471">
        <f t="shared" si="23"/>
        <v>6279000</v>
      </c>
      <c r="Q51" s="471">
        <f t="shared" si="23"/>
        <v>6279000</v>
      </c>
      <c r="R51" s="471">
        <f t="shared" si="23"/>
        <v>6279000</v>
      </c>
      <c r="S51" s="471">
        <f t="shared" si="23"/>
        <v>6279000</v>
      </c>
      <c r="T51" s="471">
        <f t="shared" si="23"/>
        <v>6279000</v>
      </c>
      <c r="U51" s="471">
        <f t="shared" si="23"/>
        <v>6279000</v>
      </c>
      <c r="V51" s="471">
        <f t="shared" si="23"/>
        <v>6279000</v>
      </c>
      <c r="W51" s="471">
        <f t="shared" si="23"/>
        <v>6279000</v>
      </c>
      <c r="X51" s="471">
        <f t="shared" si="23"/>
        <v>6279000</v>
      </c>
      <c r="Y51" s="471">
        <f t="shared" si="23"/>
        <v>6279000</v>
      </c>
      <c r="Z51" s="471">
        <f t="shared" si="23"/>
        <v>6279000</v>
      </c>
      <c r="AA51" s="471">
        <f t="shared" si="23"/>
        <v>6279000</v>
      </c>
      <c r="AB51" s="471">
        <f t="shared" si="23"/>
        <v>6279000</v>
      </c>
      <c r="AC51" s="471">
        <f t="shared" si="23"/>
        <v>6279000</v>
      </c>
      <c r="AD51" s="471">
        <f t="shared" si="23"/>
        <v>6279000</v>
      </c>
      <c r="AE51" s="471">
        <f t="shared" si="23"/>
        <v>6279000</v>
      </c>
      <c r="AF51" s="471">
        <f t="shared" si="23"/>
        <v>6279000</v>
      </c>
      <c r="AG51" s="471">
        <f t="shared" si="23"/>
        <v>6279000</v>
      </c>
      <c r="AH51" s="471">
        <f t="shared" si="23"/>
        <v>6279000</v>
      </c>
      <c r="AI51" s="471">
        <f t="shared" si="23"/>
        <v>6279000</v>
      </c>
      <c r="AJ51" s="471">
        <f t="shared" si="23"/>
        <v>6279000</v>
      </c>
      <c r="AK51" s="470">
        <f t="shared" si="23"/>
        <v>6279000</v>
      </c>
      <c r="AL51" s="452"/>
      <c r="AM51" s="452"/>
      <c r="AN51" s="452"/>
      <c r="AO51" s="452"/>
      <c r="AP51" s="452"/>
      <c r="AQ51" s="452"/>
      <c r="AR51" s="452"/>
      <c r="AS51" s="452"/>
      <c r="AT51" s="452"/>
      <c r="AU51" s="452"/>
    </row>
    <row r="52" spans="1:56" ht="13.5" thickBot="1">
      <c r="A52" s="452"/>
      <c r="B52" s="469" t="s">
        <v>519</v>
      </c>
      <c r="C52" s="468" t="s">
        <v>276</v>
      </c>
      <c r="D52" s="527">
        <v>2.2000000000000002</v>
      </c>
      <c r="E52" s="529">
        <f>C43</f>
        <v>350000</v>
      </c>
      <c r="F52" s="525">
        <f>D52*E52</f>
        <v>770000.00000000012</v>
      </c>
      <c r="G52" s="902"/>
      <c r="H52" s="524">
        <f>$F$52*H42</f>
        <v>0</v>
      </c>
      <c r="I52" s="523">
        <f t="shared" ref="I52:AK52" si="24">$F$52*I42</f>
        <v>0</v>
      </c>
      <c r="J52" s="523">
        <f t="shared" si="24"/>
        <v>1540000.0000000002</v>
      </c>
      <c r="K52" s="523">
        <f t="shared" si="24"/>
        <v>7700000.0000000009</v>
      </c>
      <c r="L52" s="523">
        <f t="shared" si="24"/>
        <v>13860000.000000002</v>
      </c>
      <c r="M52" s="523">
        <f t="shared" si="24"/>
        <v>17710000.000000004</v>
      </c>
      <c r="N52" s="523">
        <f t="shared" si="24"/>
        <v>17710000.000000004</v>
      </c>
      <c r="O52" s="523">
        <f t="shared" si="24"/>
        <v>17710000.000000004</v>
      </c>
      <c r="P52" s="523">
        <f t="shared" si="24"/>
        <v>17710000.000000004</v>
      </c>
      <c r="Q52" s="523">
        <f t="shared" si="24"/>
        <v>17710000.000000004</v>
      </c>
      <c r="R52" s="523">
        <f t="shared" si="24"/>
        <v>17710000.000000004</v>
      </c>
      <c r="S52" s="523">
        <f t="shared" si="24"/>
        <v>17710000.000000004</v>
      </c>
      <c r="T52" s="523">
        <f t="shared" si="24"/>
        <v>17710000.000000004</v>
      </c>
      <c r="U52" s="523">
        <f t="shared" si="24"/>
        <v>17710000.000000004</v>
      </c>
      <c r="V52" s="523">
        <f t="shared" si="24"/>
        <v>17710000.000000004</v>
      </c>
      <c r="W52" s="523">
        <f t="shared" si="24"/>
        <v>17710000.000000004</v>
      </c>
      <c r="X52" s="523">
        <f t="shared" si="24"/>
        <v>17710000.000000004</v>
      </c>
      <c r="Y52" s="523">
        <f t="shared" si="24"/>
        <v>17710000.000000004</v>
      </c>
      <c r="Z52" s="523">
        <f t="shared" si="24"/>
        <v>17710000.000000004</v>
      </c>
      <c r="AA52" s="523">
        <f t="shared" si="24"/>
        <v>17710000.000000004</v>
      </c>
      <c r="AB52" s="523">
        <f t="shared" si="24"/>
        <v>17710000.000000004</v>
      </c>
      <c r="AC52" s="523">
        <f t="shared" si="24"/>
        <v>17710000.000000004</v>
      </c>
      <c r="AD52" s="523">
        <f t="shared" si="24"/>
        <v>17710000.000000004</v>
      </c>
      <c r="AE52" s="523">
        <f t="shared" si="24"/>
        <v>17710000.000000004</v>
      </c>
      <c r="AF52" s="523">
        <f t="shared" si="24"/>
        <v>17710000.000000004</v>
      </c>
      <c r="AG52" s="523">
        <f t="shared" si="24"/>
        <v>17710000.000000004</v>
      </c>
      <c r="AH52" s="523">
        <f t="shared" si="24"/>
        <v>17710000.000000004</v>
      </c>
      <c r="AI52" s="523">
        <f t="shared" si="24"/>
        <v>17710000.000000004</v>
      </c>
      <c r="AJ52" s="523">
        <f t="shared" si="24"/>
        <v>17710000.000000004</v>
      </c>
      <c r="AK52" s="522">
        <f t="shared" si="24"/>
        <v>17710000.000000004</v>
      </c>
      <c r="AL52" s="508"/>
      <c r="AM52" s="452"/>
      <c r="AN52" s="452"/>
      <c r="AO52" s="452"/>
      <c r="AP52" s="452"/>
      <c r="AQ52" s="452"/>
      <c r="AR52" s="452"/>
      <c r="AS52" s="452"/>
      <c r="AT52" s="452"/>
      <c r="AU52" s="452"/>
    </row>
    <row r="53" spans="1:56" ht="13.5" thickTop="1">
      <c r="A53" s="452"/>
      <c r="B53" s="461" t="s">
        <v>518</v>
      </c>
      <c r="C53" s="460" t="s">
        <v>276</v>
      </c>
      <c r="D53" s="521"/>
      <c r="E53" s="521"/>
      <c r="F53" s="517"/>
      <c r="G53" s="902"/>
      <c r="H53" s="519"/>
      <c r="I53" s="518"/>
      <c r="J53" s="518"/>
      <c r="K53" s="518"/>
      <c r="L53" s="518"/>
      <c r="M53" s="518"/>
      <c r="N53" s="518"/>
      <c r="O53" s="518"/>
      <c r="P53" s="518"/>
      <c r="Q53" s="518"/>
      <c r="R53" s="518"/>
      <c r="S53" s="518"/>
      <c r="T53" s="518"/>
      <c r="U53" s="518"/>
      <c r="V53" s="518"/>
      <c r="W53" s="518"/>
      <c r="X53" s="518"/>
      <c r="Y53" s="518"/>
      <c r="Z53" s="518"/>
      <c r="AA53" s="518"/>
      <c r="AB53" s="518"/>
      <c r="AC53" s="518"/>
      <c r="AD53" s="518"/>
      <c r="AE53" s="518"/>
      <c r="AF53" s="518"/>
      <c r="AG53" s="518"/>
      <c r="AH53" s="518"/>
      <c r="AI53" s="518"/>
      <c r="AJ53" s="518"/>
      <c r="AK53" s="517"/>
      <c r="AL53" s="452"/>
      <c r="AM53" s="452"/>
      <c r="AN53" s="452"/>
      <c r="AO53" s="452"/>
      <c r="AP53" s="452"/>
      <c r="AQ53" s="452"/>
      <c r="AR53" s="452"/>
      <c r="AS53" s="452"/>
      <c r="AT53" s="452"/>
      <c r="AU53" s="452"/>
    </row>
    <row r="54" spans="1:56" ht="13.5" thickBot="1">
      <c r="A54" s="452"/>
      <c r="B54" s="516" t="s">
        <v>517</v>
      </c>
      <c r="C54" s="515" t="s">
        <v>276</v>
      </c>
      <c r="D54" s="514">
        <v>50000</v>
      </c>
      <c r="E54" s="513">
        <v>1</v>
      </c>
      <c r="F54" s="512">
        <f>D54*E54</f>
        <v>50000</v>
      </c>
      <c r="G54" s="903"/>
      <c r="H54" s="511">
        <f>$F$54*H42</f>
        <v>0</v>
      </c>
      <c r="I54" s="510">
        <f t="shared" ref="I54:AK54" si="25">$F$54*I42</f>
        <v>0</v>
      </c>
      <c r="J54" s="510">
        <f t="shared" si="25"/>
        <v>100000</v>
      </c>
      <c r="K54" s="510">
        <f t="shared" si="25"/>
        <v>500000</v>
      </c>
      <c r="L54" s="510">
        <f>$F$54*L42</f>
        <v>900000</v>
      </c>
      <c r="M54" s="510">
        <f t="shared" si="25"/>
        <v>1150000</v>
      </c>
      <c r="N54" s="510">
        <f t="shared" si="25"/>
        <v>1150000</v>
      </c>
      <c r="O54" s="510">
        <f t="shared" si="25"/>
        <v>1150000</v>
      </c>
      <c r="P54" s="510">
        <f t="shared" si="25"/>
        <v>1150000</v>
      </c>
      <c r="Q54" s="510">
        <f t="shared" si="25"/>
        <v>1150000</v>
      </c>
      <c r="R54" s="510">
        <f t="shared" si="25"/>
        <v>1150000</v>
      </c>
      <c r="S54" s="510">
        <f t="shared" si="25"/>
        <v>1150000</v>
      </c>
      <c r="T54" s="510">
        <f t="shared" si="25"/>
        <v>1150000</v>
      </c>
      <c r="U54" s="510">
        <f t="shared" si="25"/>
        <v>1150000</v>
      </c>
      <c r="V54" s="510">
        <f t="shared" si="25"/>
        <v>1150000</v>
      </c>
      <c r="W54" s="510">
        <f t="shared" si="25"/>
        <v>1150000</v>
      </c>
      <c r="X54" s="510">
        <f t="shared" si="25"/>
        <v>1150000</v>
      </c>
      <c r="Y54" s="510">
        <f t="shared" si="25"/>
        <v>1150000</v>
      </c>
      <c r="Z54" s="510">
        <f t="shared" si="25"/>
        <v>1150000</v>
      </c>
      <c r="AA54" s="510">
        <f t="shared" si="25"/>
        <v>1150000</v>
      </c>
      <c r="AB54" s="510">
        <f t="shared" si="25"/>
        <v>1150000</v>
      </c>
      <c r="AC54" s="510">
        <f t="shared" si="25"/>
        <v>1150000</v>
      </c>
      <c r="AD54" s="510">
        <f t="shared" si="25"/>
        <v>1150000</v>
      </c>
      <c r="AE54" s="510">
        <f t="shared" si="25"/>
        <v>1150000</v>
      </c>
      <c r="AF54" s="510">
        <f t="shared" si="25"/>
        <v>1150000</v>
      </c>
      <c r="AG54" s="510">
        <f t="shared" si="25"/>
        <v>1150000</v>
      </c>
      <c r="AH54" s="510">
        <f t="shared" si="25"/>
        <v>1150000</v>
      </c>
      <c r="AI54" s="510">
        <f t="shared" si="25"/>
        <v>1150000</v>
      </c>
      <c r="AJ54" s="510">
        <f t="shared" si="25"/>
        <v>1150000</v>
      </c>
      <c r="AK54" s="509">
        <f t="shared" si="25"/>
        <v>1150000</v>
      </c>
      <c r="AL54" s="452"/>
      <c r="AM54" s="452"/>
      <c r="AN54" s="452"/>
      <c r="AO54" s="452"/>
      <c r="AP54" s="452"/>
      <c r="AQ54" s="452"/>
      <c r="AR54" s="452"/>
      <c r="AS54" s="452"/>
      <c r="AT54" s="452"/>
      <c r="AU54" s="452"/>
    </row>
    <row r="55" spans="1:56">
      <c r="A55" s="452"/>
      <c r="B55" s="452"/>
      <c r="C55" s="452"/>
      <c r="D55" s="452"/>
      <c r="E55" s="452"/>
      <c r="F55" s="452"/>
      <c r="G55" s="452"/>
      <c r="H55" s="508"/>
      <c r="I55" s="508"/>
      <c r="J55" s="452"/>
      <c r="K55" s="452"/>
      <c r="L55" s="508"/>
      <c r="M55" s="508"/>
      <c r="N55" s="452"/>
      <c r="O55" s="452"/>
      <c r="P55" s="452"/>
      <c r="Q55" s="452"/>
      <c r="R55" s="452"/>
      <c r="S55" s="452"/>
      <c r="T55" s="452"/>
      <c r="U55" s="452"/>
      <c r="V55" s="452"/>
      <c r="W55" s="452"/>
      <c r="X55" s="452"/>
      <c r="Y55" s="452"/>
      <c r="Z55" s="452"/>
      <c r="AA55" s="452"/>
      <c r="AB55" s="452"/>
      <c r="AC55" s="452"/>
      <c r="AD55" s="452"/>
      <c r="AE55" s="452"/>
      <c r="AF55" s="452"/>
      <c r="AG55" s="452"/>
      <c r="AH55" s="452"/>
      <c r="AI55" s="452"/>
      <c r="AJ55" s="452"/>
      <c r="AK55" s="452"/>
      <c r="AL55" s="452"/>
      <c r="AM55" s="452"/>
      <c r="AN55" s="452"/>
      <c r="AO55" s="452"/>
      <c r="AP55" s="452"/>
      <c r="AQ55" s="452"/>
      <c r="AR55" s="452"/>
      <c r="AS55" s="452"/>
      <c r="AT55" s="452"/>
      <c r="AU55" s="452"/>
    </row>
    <row r="56" spans="1:56" ht="13.5" thickBot="1">
      <c r="A56" s="452"/>
      <c r="B56" s="452"/>
      <c r="C56" s="452"/>
      <c r="D56" s="452"/>
      <c r="E56" s="452"/>
      <c r="F56" s="452"/>
      <c r="G56" s="452"/>
      <c r="H56" s="508"/>
      <c r="I56" s="508"/>
      <c r="J56" s="452"/>
      <c r="K56" s="452"/>
      <c r="L56" s="508"/>
      <c r="M56" s="452"/>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c r="AL56" s="452"/>
      <c r="AM56" s="452"/>
      <c r="AN56" s="452"/>
      <c r="AO56" s="452"/>
      <c r="AP56" s="452"/>
      <c r="AQ56" s="452"/>
      <c r="AR56" s="452"/>
      <c r="AS56" s="452"/>
      <c r="AT56" s="452"/>
      <c r="AU56" s="452"/>
    </row>
    <row r="57" spans="1:56">
      <c r="A57" s="452"/>
      <c r="B57" s="892" t="s">
        <v>533</v>
      </c>
      <c r="C57" s="507" t="s">
        <v>532</v>
      </c>
      <c r="D57" s="894" t="s">
        <v>531</v>
      </c>
      <c r="E57" s="894" t="s">
        <v>530</v>
      </c>
      <c r="F57" s="897" t="s">
        <v>529</v>
      </c>
      <c r="G57" s="506" t="s">
        <v>528</v>
      </c>
      <c r="H57" s="505">
        <v>2023</v>
      </c>
      <c r="I57" s="504">
        <f>H57+1</f>
        <v>2024</v>
      </c>
      <c r="J57" s="504">
        <f>I57+1</f>
        <v>2025</v>
      </c>
      <c r="K57" s="504">
        <f t="shared" ref="K57:L57" si="26">J57+1</f>
        <v>2026</v>
      </c>
      <c r="L57" s="504">
        <f t="shared" si="26"/>
        <v>2027</v>
      </c>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c r="AL57" s="452"/>
      <c r="AM57" s="452"/>
      <c r="AN57" s="452"/>
      <c r="AO57" s="452"/>
      <c r="AP57" s="452"/>
      <c r="AQ57" s="452"/>
      <c r="AR57" s="452"/>
      <c r="AS57" s="452"/>
      <c r="AT57" s="452"/>
      <c r="AU57" s="452"/>
    </row>
    <row r="58" spans="1:56">
      <c r="A58" s="452"/>
      <c r="B58" s="893"/>
      <c r="C58" s="503" t="s">
        <v>527</v>
      </c>
      <c r="D58" s="895"/>
      <c r="E58" s="895"/>
      <c r="F58" s="898"/>
      <c r="G58" s="502" t="s">
        <v>526</v>
      </c>
      <c r="H58" s="501">
        <v>11</v>
      </c>
      <c r="I58" s="501">
        <v>11</v>
      </c>
      <c r="J58" s="501">
        <v>11</v>
      </c>
      <c r="K58" s="501">
        <v>11</v>
      </c>
      <c r="L58" s="501">
        <v>6</v>
      </c>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c r="AL58" s="452"/>
      <c r="AM58" s="452"/>
      <c r="AN58" s="452"/>
      <c r="AO58" s="452"/>
      <c r="AP58" s="452"/>
      <c r="AQ58" s="452"/>
      <c r="AR58" s="452"/>
      <c r="AS58" s="452"/>
      <c r="AT58" s="452"/>
      <c r="AU58" s="452"/>
    </row>
    <row r="59" spans="1:56" ht="12.95" customHeight="1" thickBot="1">
      <c r="A59" s="452"/>
      <c r="B59" s="500" t="s">
        <v>525</v>
      </c>
      <c r="C59" s="499">
        <f>340*900</f>
        <v>306000</v>
      </c>
      <c r="D59" s="896"/>
      <c r="E59" s="896"/>
      <c r="F59" s="899"/>
      <c r="G59" s="498" t="s">
        <v>524</v>
      </c>
      <c r="H59" s="497">
        <v>10</v>
      </c>
      <c r="I59" s="497">
        <v>10</v>
      </c>
      <c r="J59" s="497">
        <v>10</v>
      </c>
      <c r="K59" s="497">
        <v>10</v>
      </c>
      <c r="L59" s="497">
        <v>5</v>
      </c>
      <c r="M59" s="452"/>
      <c r="N59" s="452"/>
      <c r="O59" s="452"/>
      <c r="P59" s="452"/>
      <c r="Q59" s="452"/>
      <c r="R59" s="452"/>
      <c r="S59" s="452"/>
      <c r="T59" s="452"/>
      <c r="U59" s="452"/>
      <c r="V59" s="452"/>
      <c r="W59" s="452"/>
      <c r="X59" s="452"/>
      <c r="Y59" s="452"/>
      <c r="Z59" s="452"/>
      <c r="AA59" s="452"/>
      <c r="AB59" s="452"/>
      <c r="AC59" s="452"/>
      <c r="AD59" s="452"/>
      <c r="AE59" s="452"/>
      <c r="AF59" s="452"/>
      <c r="AG59" s="452"/>
      <c r="AH59" s="452"/>
      <c r="AI59" s="452"/>
      <c r="AJ59" s="452"/>
      <c r="AK59" s="452"/>
      <c r="AL59" s="452"/>
      <c r="AM59" s="452"/>
      <c r="AN59" s="452"/>
      <c r="AO59" s="452"/>
      <c r="AP59" s="452"/>
      <c r="AQ59" s="452"/>
      <c r="AR59" s="452"/>
      <c r="AS59" s="452"/>
      <c r="AT59" s="452"/>
      <c r="AU59" s="452"/>
    </row>
    <row r="60" spans="1:56" ht="12.6" customHeight="1">
      <c r="A60" s="452"/>
      <c r="B60" s="496" t="s">
        <v>523</v>
      </c>
      <c r="C60" s="495" t="s">
        <v>276</v>
      </c>
      <c r="D60" s="494">
        <v>2.76</v>
      </c>
      <c r="E60" s="493">
        <f>340*900</f>
        <v>306000</v>
      </c>
      <c r="F60" s="492">
        <f>D60*E60</f>
        <v>844559.99999999988</v>
      </c>
      <c r="G60" s="900"/>
      <c r="H60" s="491">
        <f>$F$60*H58</f>
        <v>9290159.9999999981</v>
      </c>
      <c r="I60" s="490">
        <f t="shared" ref="I60:L60" si="27">$F$60*I58</f>
        <v>9290159.9999999981</v>
      </c>
      <c r="J60" s="490">
        <f t="shared" si="27"/>
        <v>9290159.9999999981</v>
      </c>
      <c r="K60" s="490">
        <f t="shared" si="27"/>
        <v>9290159.9999999981</v>
      </c>
      <c r="L60" s="489">
        <f t="shared" si="27"/>
        <v>5067359.9999999991</v>
      </c>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c r="AL60" s="452"/>
      <c r="AM60" s="452"/>
      <c r="AN60" s="452"/>
      <c r="AO60" s="452"/>
      <c r="AP60" s="452"/>
      <c r="AQ60" s="452"/>
      <c r="AR60" s="452"/>
      <c r="AS60" s="452"/>
      <c r="AT60" s="452"/>
      <c r="AU60" s="452"/>
    </row>
    <row r="61" spans="1:56">
      <c r="A61" s="452"/>
      <c r="B61" s="477" t="s">
        <v>522</v>
      </c>
      <c r="C61" s="476" t="s">
        <v>276</v>
      </c>
      <c r="D61" s="488"/>
      <c r="E61" s="487"/>
      <c r="F61" s="486"/>
      <c r="G61" s="900"/>
      <c r="H61" s="481"/>
      <c r="I61" s="480"/>
      <c r="J61" s="480"/>
      <c r="K61" s="480"/>
      <c r="L61" s="479"/>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c r="AL61" s="452"/>
      <c r="AM61" s="452"/>
      <c r="AN61" s="452"/>
      <c r="AO61" s="452"/>
      <c r="AP61" s="452"/>
      <c r="AQ61" s="452"/>
      <c r="AR61" s="452"/>
      <c r="AS61" s="452"/>
      <c r="AT61" s="452"/>
      <c r="AU61" s="452"/>
    </row>
    <row r="62" spans="1:56">
      <c r="A62" s="452"/>
      <c r="B62" s="477" t="s">
        <v>521</v>
      </c>
      <c r="C62" s="476" t="s">
        <v>276</v>
      </c>
      <c r="D62" s="475">
        <v>0.64</v>
      </c>
      <c r="E62" s="474">
        <f>340*900</f>
        <v>306000</v>
      </c>
      <c r="F62" s="473">
        <f>D62*E62</f>
        <v>195840</v>
      </c>
      <c r="G62" s="900"/>
      <c r="H62" s="472">
        <f>$F$62*H58</f>
        <v>2154240</v>
      </c>
      <c r="I62" s="471">
        <f t="shared" ref="I62:L62" si="28">$F$62*I58</f>
        <v>2154240</v>
      </c>
      <c r="J62" s="471">
        <f t="shared" si="28"/>
        <v>2154240</v>
      </c>
      <c r="K62" s="471">
        <f t="shared" si="28"/>
        <v>2154240</v>
      </c>
      <c r="L62" s="470">
        <f t="shared" si="28"/>
        <v>1175040</v>
      </c>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c r="AL62" s="452"/>
      <c r="AM62" s="452"/>
      <c r="AN62" s="452"/>
      <c r="AO62" s="452"/>
      <c r="AP62" s="452"/>
      <c r="AQ62" s="452"/>
      <c r="AR62" s="452"/>
      <c r="AS62" s="452"/>
      <c r="AT62" s="452"/>
      <c r="AU62" s="452"/>
    </row>
    <row r="63" spans="1:56">
      <c r="A63" s="452"/>
      <c r="B63" s="477" t="s">
        <v>284</v>
      </c>
      <c r="C63" s="476" t="s">
        <v>276</v>
      </c>
      <c r="D63" s="484"/>
      <c r="E63" s="483"/>
      <c r="F63" s="482"/>
      <c r="G63" s="900"/>
      <c r="H63" s="481"/>
      <c r="I63" s="480"/>
      <c r="J63" s="480"/>
      <c r="K63" s="480"/>
      <c r="L63" s="479"/>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c r="AL63" s="452"/>
      <c r="AM63" s="452"/>
      <c r="AN63" s="452"/>
      <c r="AO63" s="452"/>
      <c r="AP63" s="452"/>
      <c r="AQ63" s="452"/>
      <c r="AR63" s="452"/>
      <c r="AS63" s="452"/>
      <c r="AT63" s="452"/>
      <c r="AU63" s="452"/>
    </row>
    <row r="64" spans="1:56">
      <c r="A64" s="452"/>
      <c r="B64" s="477" t="s">
        <v>287</v>
      </c>
      <c r="C64" s="476" t="s">
        <v>276</v>
      </c>
      <c r="D64" s="484"/>
      <c r="E64" s="483"/>
      <c r="F64" s="482"/>
      <c r="G64" s="900"/>
      <c r="H64" s="481"/>
      <c r="I64" s="480"/>
      <c r="J64" s="480"/>
      <c r="K64" s="480"/>
      <c r="L64" s="479"/>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c r="AL64" s="452"/>
      <c r="AM64" s="452"/>
      <c r="AN64" s="452"/>
      <c r="AO64" s="452"/>
      <c r="AP64" s="452"/>
      <c r="AQ64" s="452"/>
      <c r="AR64" s="452"/>
      <c r="AS64" s="452"/>
      <c r="AT64" s="452"/>
      <c r="AU64" s="452"/>
    </row>
    <row r="65" spans="1:56">
      <c r="A65" s="452"/>
      <c r="B65" s="477" t="s">
        <v>520</v>
      </c>
      <c r="C65" s="476" t="s">
        <v>276</v>
      </c>
      <c r="D65" s="478">
        <v>0.36</v>
      </c>
      <c r="E65" s="474">
        <f>340*900</f>
        <v>306000</v>
      </c>
      <c r="F65" s="473">
        <f>D65*E65</f>
        <v>110160</v>
      </c>
      <c r="G65" s="900"/>
      <c r="H65" s="472">
        <f>$F$65*H58</f>
        <v>1211760</v>
      </c>
      <c r="I65" s="472">
        <f t="shared" ref="I65:L65" si="29">$F$65*I58</f>
        <v>1211760</v>
      </c>
      <c r="J65" s="472">
        <f t="shared" si="29"/>
        <v>1211760</v>
      </c>
      <c r="K65" s="472">
        <f t="shared" si="29"/>
        <v>1211760</v>
      </c>
      <c r="L65" s="472">
        <f t="shared" si="29"/>
        <v>660960</v>
      </c>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c r="AL65" s="452"/>
      <c r="AM65" s="452"/>
      <c r="AN65" s="452"/>
      <c r="AO65" s="452"/>
      <c r="AP65" s="452"/>
      <c r="AQ65" s="452"/>
      <c r="AR65" s="452"/>
      <c r="AS65" s="452"/>
      <c r="AT65" s="452"/>
      <c r="AU65" s="452"/>
    </row>
    <row r="66" spans="1:56">
      <c r="A66" s="452"/>
      <c r="B66" s="477" t="s">
        <v>330</v>
      </c>
      <c r="C66" s="476" t="s">
        <v>276</v>
      </c>
      <c r="D66" s="475">
        <v>1.84</v>
      </c>
      <c r="E66" s="474">
        <f>340*900</f>
        <v>306000</v>
      </c>
      <c r="F66" s="473">
        <f t="shared" ref="F66:F67" si="30">D66*E66</f>
        <v>563040</v>
      </c>
      <c r="G66" s="900"/>
      <c r="H66" s="472">
        <f>$F$66*H58</f>
        <v>6193440</v>
      </c>
      <c r="I66" s="471">
        <f t="shared" ref="I66:L66" si="31">$F$66*I58</f>
        <v>6193440</v>
      </c>
      <c r="J66" s="471">
        <f t="shared" si="31"/>
        <v>6193440</v>
      </c>
      <c r="K66" s="471">
        <f t="shared" si="31"/>
        <v>6193440</v>
      </c>
      <c r="L66" s="470">
        <f t="shared" si="31"/>
        <v>3378240</v>
      </c>
      <c r="M66" s="452"/>
      <c r="N66" s="452"/>
      <c r="O66" s="452"/>
      <c r="P66" s="452"/>
      <c r="Q66" s="452"/>
      <c r="R66" s="452"/>
      <c r="S66" s="452"/>
      <c r="T66" s="452"/>
      <c r="U66" s="452"/>
      <c r="V66" s="452"/>
      <c r="W66" s="452"/>
      <c r="X66" s="452"/>
      <c r="Y66" s="452"/>
      <c r="Z66" s="452"/>
      <c r="AA66" s="452"/>
      <c r="AB66" s="452"/>
      <c r="AC66" s="452"/>
      <c r="AD66" s="452"/>
      <c r="AE66" s="452"/>
      <c r="AF66" s="452"/>
      <c r="AG66" s="452"/>
      <c r="AH66" s="452"/>
      <c r="AI66" s="452"/>
      <c r="AJ66" s="452"/>
      <c r="AK66" s="452"/>
      <c r="AL66" s="452"/>
      <c r="AM66" s="452"/>
      <c r="AN66" s="452"/>
      <c r="AO66" s="452"/>
      <c r="AP66" s="452"/>
      <c r="AQ66" s="452"/>
      <c r="AR66" s="452"/>
      <c r="AS66" s="452"/>
      <c r="AT66" s="452"/>
      <c r="AU66" s="452"/>
    </row>
    <row r="67" spans="1:56">
      <c r="A67" s="452"/>
      <c r="B67" s="477" t="s">
        <v>331</v>
      </c>
      <c r="C67" s="476" t="s">
        <v>276</v>
      </c>
      <c r="D67" s="475">
        <v>1.93</v>
      </c>
      <c r="E67" s="474">
        <f>340*900</f>
        <v>306000</v>
      </c>
      <c r="F67" s="473">
        <f t="shared" si="30"/>
        <v>590580</v>
      </c>
      <c r="G67" s="900"/>
      <c r="H67" s="472">
        <f>$F$67*H58</f>
        <v>6496380</v>
      </c>
      <c r="I67" s="471">
        <f t="shared" ref="I67:L67" si="32">$F$67*I58</f>
        <v>6496380</v>
      </c>
      <c r="J67" s="471">
        <f t="shared" si="32"/>
        <v>6496380</v>
      </c>
      <c r="K67" s="471">
        <f t="shared" si="32"/>
        <v>6496380</v>
      </c>
      <c r="L67" s="470">
        <f t="shared" si="32"/>
        <v>3543480</v>
      </c>
      <c r="M67" s="452"/>
      <c r="N67" s="452"/>
      <c r="O67" s="452"/>
      <c r="P67" s="452"/>
      <c r="Q67" s="452"/>
      <c r="R67" s="452"/>
      <c r="S67" s="452"/>
      <c r="T67" s="452"/>
      <c r="U67" s="452"/>
      <c r="V67" s="452"/>
      <c r="W67" s="452"/>
      <c r="X67" s="452"/>
      <c r="Y67" s="452"/>
      <c r="Z67" s="452"/>
      <c r="AA67" s="452"/>
      <c r="AB67" s="452"/>
      <c r="AC67" s="452"/>
      <c r="AD67" s="452"/>
      <c r="AE67" s="452"/>
      <c r="AF67" s="452"/>
      <c r="AG67" s="452"/>
      <c r="AH67" s="452"/>
      <c r="AI67" s="452"/>
      <c r="AJ67" s="452"/>
      <c r="AK67" s="452"/>
      <c r="AL67" s="452"/>
      <c r="AM67" s="452"/>
      <c r="AN67" s="452"/>
      <c r="AO67" s="452"/>
      <c r="AP67" s="452"/>
      <c r="AQ67" s="452"/>
      <c r="AR67" s="452"/>
      <c r="AS67" s="452"/>
      <c r="AT67" s="452"/>
      <c r="AU67" s="452"/>
    </row>
    <row r="68" spans="1:56" ht="13.5" thickBot="1">
      <c r="A68" s="452"/>
      <c r="B68" s="469" t="s">
        <v>519</v>
      </c>
      <c r="C68" s="468" t="s">
        <v>276</v>
      </c>
      <c r="D68" s="467"/>
      <c r="E68" s="466"/>
      <c r="F68" s="465"/>
      <c r="G68" s="900"/>
      <c r="H68" s="464"/>
      <c r="I68" s="463"/>
      <c r="J68" s="463"/>
      <c r="K68" s="463"/>
      <c r="L68" s="462"/>
      <c r="M68" s="452"/>
      <c r="N68" s="452"/>
      <c r="O68" s="452"/>
      <c r="P68" s="452"/>
      <c r="Q68" s="452"/>
      <c r="R68" s="452"/>
      <c r="S68" s="452"/>
      <c r="T68" s="452"/>
      <c r="U68" s="452"/>
      <c r="V68" s="452"/>
      <c r="W68" s="452"/>
      <c r="X68" s="452"/>
      <c r="Y68" s="452"/>
      <c r="Z68" s="452"/>
      <c r="AA68" s="452"/>
      <c r="AB68" s="452"/>
      <c r="AC68" s="452"/>
      <c r="AD68" s="452"/>
      <c r="AE68" s="452"/>
      <c r="AF68" s="452"/>
      <c r="AG68" s="452"/>
      <c r="AH68" s="452"/>
      <c r="AI68" s="452"/>
      <c r="AJ68" s="452"/>
      <c r="AK68" s="452"/>
      <c r="AL68" s="452"/>
      <c r="AM68" s="452"/>
      <c r="AN68" s="452"/>
      <c r="AO68" s="452"/>
      <c r="AP68" s="452"/>
      <c r="AQ68" s="452"/>
      <c r="AR68" s="452"/>
      <c r="AS68" s="452"/>
      <c r="AT68" s="452"/>
      <c r="AU68" s="452"/>
    </row>
    <row r="69" spans="1:56" ht="14.25" thickTop="1" thickBot="1">
      <c r="A69" s="452"/>
      <c r="B69" s="461" t="s">
        <v>518</v>
      </c>
      <c r="C69" s="460" t="s">
        <v>276</v>
      </c>
      <c r="D69" s="459">
        <v>1.1200000000000001</v>
      </c>
      <c r="E69" s="458">
        <f>340*900</f>
        <v>306000</v>
      </c>
      <c r="F69" s="457">
        <f t="shared" ref="F69" si="33">D69*E69</f>
        <v>342720.00000000006</v>
      </c>
      <c r="G69" s="900"/>
      <c r="H69" s="455">
        <f>$F$69*H58</f>
        <v>3769920.0000000005</v>
      </c>
      <c r="I69" s="454">
        <f t="shared" ref="I69:L69" si="34">$F$69*I58</f>
        <v>3769920.0000000005</v>
      </c>
      <c r="J69" s="454">
        <f t="shared" si="34"/>
        <v>3769920.0000000005</v>
      </c>
      <c r="K69" s="454">
        <f t="shared" si="34"/>
        <v>3769920.0000000005</v>
      </c>
      <c r="L69" s="453">
        <f t="shared" si="34"/>
        <v>2056320.0000000005</v>
      </c>
      <c r="M69" s="452"/>
      <c r="N69" s="452"/>
      <c r="O69" s="452"/>
      <c r="P69" s="452"/>
      <c r="Q69" s="452"/>
      <c r="R69" s="452"/>
      <c r="S69" s="452"/>
      <c r="T69" s="452"/>
      <c r="U69" s="452"/>
      <c r="V69" s="452"/>
      <c r="W69" s="452"/>
      <c r="X69" s="452"/>
      <c r="Y69" s="452"/>
      <c r="Z69" s="452"/>
      <c r="AA69" s="452"/>
      <c r="AB69" s="452"/>
      <c r="AC69" s="452"/>
      <c r="AD69" s="452"/>
      <c r="AE69" s="452"/>
      <c r="AF69" s="452"/>
      <c r="AG69" s="452"/>
      <c r="AH69" s="452"/>
      <c r="AI69" s="452"/>
      <c r="AJ69" s="452"/>
      <c r="AK69" s="452"/>
      <c r="AL69" s="452"/>
      <c r="AM69" s="452"/>
      <c r="AN69" s="452"/>
      <c r="AO69" s="452"/>
      <c r="AP69" s="452"/>
      <c r="AQ69" s="452"/>
      <c r="AR69" s="452"/>
      <c r="AS69" s="452"/>
      <c r="AT69" s="452"/>
      <c r="AU69" s="452"/>
    </row>
    <row r="70" spans="1:56" ht="13.5" thickBot="1">
      <c r="A70" s="452"/>
      <c r="B70" s="451" t="s">
        <v>517</v>
      </c>
      <c r="C70" s="450" t="s">
        <v>276</v>
      </c>
      <c r="D70" s="449"/>
      <c r="E70" s="448"/>
      <c r="F70" s="447"/>
      <c r="G70" s="901"/>
      <c r="H70" s="446"/>
      <c r="I70" s="445"/>
      <c r="J70" s="445"/>
      <c r="K70" s="445"/>
      <c r="L70" s="444"/>
      <c r="M70" s="452"/>
      <c r="N70" s="452"/>
      <c r="O70" s="452"/>
      <c r="P70" s="452"/>
      <c r="Q70" s="452"/>
      <c r="R70" s="452"/>
      <c r="S70" s="452"/>
      <c r="T70" s="452"/>
      <c r="U70" s="452"/>
      <c r="V70" s="452"/>
      <c r="W70" s="452"/>
      <c r="X70" s="452"/>
      <c r="Y70" s="452"/>
      <c r="Z70" s="452"/>
      <c r="AA70" s="452"/>
      <c r="AB70" s="452"/>
      <c r="AC70" s="452"/>
      <c r="AD70" s="452"/>
      <c r="AE70" s="452"/>
      <c r="AF70" s="452"/>
      <c r="AG70" s="452"/>
      <c r="AH70" s="452"/>
      <c r="AI70" s="452"/>
      <c r="AJ70" s="452"/>
      <c r="AK70" s="452"/>
      <c r="AL70" s="452"/>
      <c r="AM70" s="452"/>
      <c r="AN70" s="452"/>
      <c r="AO70" s="452"/>
      <c r="AP70" s="452"/>
      <c r="AQ70" s="452"/>
      <c r="AR70" s="452"/>
      <c r="AS70" s="452"/>
      <c r="AT70" s="452"/>
      <c r="AU70" s="452"/>
    </row>
    <row r="71" spans="1:56">
      <c r="A71" s="452"/>
      <c r="B71" s="452"/>
      <c r="C71" s="452"/>
      <c r="D71" s="452"/>
      <c r="E71" s="452"/>
      <c r="F71" s="452"/>
      <c r="G71" s="452"/>
      <c r="H71" s="508"/>
      <c r="I71" s="508"/>
      <c r="J71" s="452"/>
      <c r="K71" s="508"/>
      <c r="L71" s="508"/>
      <c r="M71" s="452"/>
      <c r="N71" s="452"/>
      <c r="O71" s="452"/>
      <c r="P71" s="452"/>
      <c r="Q71" s="452"/>
      <c r="R71" s="452"/>
      <c r="S71" s="452"/>
      <c r="T71" s="452"/>
      <c r="U71" s="452"/>
      <c r="V71" s="452"/>
      <c r="W71" s="452"/>
      <c r="X71" s="452"/>
      <c r="Y71" s="452"/>
      <c r="Z71" s="452"/>
      <c r="AA71" s="452"/>
      <c r="AB71" s="452"/>
      <c r="AC71" s="452"/>
      <c r="AD71" s="452"/>
      <c r="AE71" s="452"/>
      <c r="AF71" s="452"/>
      <c r="AG71" s="452"/>
      <c r="AH71" s="452"/>
      <c r="AI71" s="452"/>
      <c r="AJ71" s="452"/>
      <c r="AK71" s="452"/>
      <c r="AL71" s="452"/>
      <c r="AM71" s="452"/>
      <c r="AN71" s="452"/>
      <c r="AO71" s="452"/>
      <c r="AP71" s="452"/>
      <c r="AQ71" s="452"/>
      <c r="AR71" s="452"/>
      <c r="AS71" s="452"/>
      <c r="AT71" s="452"/>
      <c r="AU71" s="452"/>
    </row>
    <row r="72" spans="1:56" ht="13.5" thickBot="1">
      <c r="A72" s="452"/>
      <c r="B72" s="452"/>
      <c r="C72" s="456"/>
      <c r="D72" s="456"/>
      <c r="E72" s="456"/>
      <c r="F72" s="456"/>
      <c r="G72" s="456"/>
      <c r="H72" s="456"/>
      <c r="I72" s="456"/>
      <c r="J72" s="456"/>
      <c r="K72" s="456"/>
      <c r="L72" s="456"/>
      <c r="M72" s="456"/>
      <c r="N72" s="456"/>
      <c r="O72" s="456"/>
      <c r="P72" s="456"/>
      <c r="Q72" s="456"/>
      <c r="R72" s="456"/>
      <c r="S72" s="456"/>
      <c r="T72" s="456"/>
      <c r="U72" s="456"/>
      <c r="V72" s="456"/>
      <c r="W72" s="456"/>
      <c r="X72" s="456"/>
      <c r="Y72" s="456"/>
      <c r="Z72" s="456"/>
      <c r="AA72" s="456"/>
      <c r="AB72" s="456"/>
      <c r="AC72" s="456"/>
      <c r="AD72" s="456"/>
      <c r="AE72" s="456"/>
      <c r="AF72" s="456"/>
      <c r="AG72" s="456"/>
      <c r="AH72" s="456"/>
      <c r="AI72" s="456"/>
      <c r="AJ72" s="456"/>
      <c r="AK72" s="456"/>
      <c r="AL72" s="452"/>
      <c r="AM72" s="452"/>
      <c r="AN72" s="452"/>
      <c r="AO72" s="452"/>
      <c r="AP72" s="452"/>
      <c r="AQ72" s="452"/>
      <c r="AR72" s="452"/>
      <c r="AS72" s="452"/>
      <c r="AT72" s="452"/>
      <c r="AU72" s="452"/>
    </row>
    <row r="73" spans="1:56">
      <c r="A73" s="452"/>
      <c r="B73" s="892" t="s">
        <v>367</v>
      </c>
      <c r="C73" s="507" t="s">
        <v>544</v>
      </c>
      <c r="D73" s="894" t="s">
        <v>531</v>
      </c>
      <c r="E73" s="894" t="s">
        <v>530</v>
      </c>
      <c r="F73" s="897" t="s">
        <v>529</v>
      </c>
      <c r="G73" s="506" t="s">
        <v>528</v>
      </c>
      <c r="H73" s="505">
        <v>2023</v>
      </c>
      <c r="I73" s="504">
        <f>H73+1</f>
        <v>2024</v>
      </c>
      <c r="J73" s="504">
        <f>I73+1</f>
        <v>2025</v>
      </c>
      <c r="K73" s="504">
        <f t="shared" ref="K73:AI73" si="35">J73+1</f>
        <v>2026</v>
      </c>
      <c r="L73" s="504">
        <f t="shared" si="35"/>
        <v>2027</v>
      </c>
      <c r="M73" s="504">
        <f t="shared" si="35"/>
        <v>2028</v>
      </c>
      <c r="N73" s="504">
        <f t="shared" si="35"/>
        <v>2029</v>
      </c>
      <c r="O73" s="504">
        <f t="shared" si="35"/>
        <v>2030</v>
      </c>
      <c r="P73" s="504">
        <f t="shared" si="35"/>
        <v>2031</v>
      </c>
      <c r="Q73" s="504">
        <f t="shared" si="35"/>
        <v>2032</v>
      </c>
      <c r="R73" s="504">
        <f t="shared" si="35"/>
        <v>2033</v>
      </c>
      <c r="S73" s="504">
        <f t="shared" si="35"/>
        <v>2034</v>
      </c>
      <c r="T73" s="504">
        <f t="shared" si="35"/>
        <v>2035</v>
      </c>
      <c r="U73" s="504">
        <f t="shared" si="35"/>
        <v>2036</v>
      </c>
      <c r="V73" s="504">
        <f t="shared" si="35"/>
        <v>2037</v>
      </c>
      <c r="W73" s="504">
        <f t="shared" si="35"/>
        <v>2038</v>
      </c>
      <c r="X73" s="504">
        <f t="shared" si="35"/>
        <v>2039</v>
      </c>
      <c r="Y73" s="504">
        <f t="shared" si="35"/>
        <v>2040</v>
      </c>
      <c r="Z73" s="504">
        <f t="shared" si="35"/>
        <v>2041</v>
      </c>
      <c r="AA73" s="504">
        <f t="shared" si="35"/>
        <v>2042</v>
      </c>
      <c r="AB73" s="504">
        <f t="shared" si="35"/>
        <v>2043</v>
      </c>
      <c r="AC73" s="504">
        <f t="shared" si="35"/>
        <v>2044</v>
      </c>
      <c r="AD73" s="504">
        <f t="shared" si="35"/>
        <v>2045</v>
      </c>
      <c r="AE73" s="504">
        <f t="shared" si="35"/>
        <v>2046</v>
      </c>
      <c r="AF73" s="504">
        <f t="shared" si="35"/>
        <v>2047</v>
      </c>
      <c r="AG73" s="504">
        <f t="shared" si="35"/>
        <v>2048</v>
      </c>
      <c r="AH73" s="504">
        <f t="shared" si="35"/>
        <v>2049</v>
      </c>
      <c r="AI73" s="504">
        <f t="shared" si="35"/>
        <v>2050</v>
      </c>
      <c r="AJ73" s="504">
        <f>AI73+1</f>
        <v>2051</v>
      </c>
      <c r="AK73" s="504">
        <f>AJ73+1</f>
        <v>2052</v>
      </c>
      <c r="AL73" s="452"/>
      <c r="AM73" s="452"/>
      <c r="AN73" s="452"/>
      <c r="AO73" s="452"/>
      <c r="AP73" s="452"/>
      <c r="AQ73" s="452"/>
      <c r="AR73" s="452"/>
      <c r="AS73" s="452"/>
      <c r="AT73" s="452"/>
      <c r="AU73" s="452"/>
    </row>
    <row r="74" spans="1:56">
      <c r="A74" s="452"/>
      <c r="B74" s="893"/>
      <c r="C74" s="503" t="s">
        <v>534</v>
      </c>
      <c r="D74" s="895"/>
      <c r="E74" s="895"/>
      <c r="F74" s="898"/>
      <c r="G74" s="502" t="s">
        <v>526</v>
      </c>
      <c r="H74" s="501"/>
      <c r="I74" s="501"/>
      <c r="J74" s="501"/>
      <c r="K74" s="501"/>
      <c r="L74" s="501">
        <v>5</v>
      </c>
      <c r="M74" s="501">
        <v>10</v>
      </c>
      <c r="N74" s="501">
        <v>10</v>
      </c>
      <c r="O74" s="501">
        <v>10</v>
      </c>
      <c r="P74" s="501">
        <v>10</v>
      </c>
      <c r="Q74" s="501">
        <v>10</v>
      </c>
      <c r="R74" s="501">
        <v>10</v>
      </c>
      <c r="S74" s="501">
        <v>10</v>
      </c>
      <c r="T74" s="501">
        <v>10</v>
      </c>
      <c r="U74" s="501">
        <v>10</v>
      </c>
      <c r="V74" s="501">
        <v>10</v>
      </c>
      <c r="W74" s="501">
        <v>10</v>
      </c>
      <c r="X74" s="501">
        <v>10</v>
      </c>
      <c r="Y74" s="501">
        <v>10</v>
      </c>
      <c r="Z74" s="501">
        <v>10</v>
      </c>
      <c r="AA74" s="501">
        <v>10</v>
      </c>
      <c r="AB74" s="501">
        <v>10</v>
      </c>
      <c r="AC74" s="501">
        <v>10</v>
      </c>
      <c r="AD74" s="501">
        <v>10</v>
      </c>
      <c r="AE74" s="501">
        <v>10</v>
      </c>
      <c r="AF74" s="501">
        <v>10</v>
      </c>
      <c r="AG74" s="501">
        <v>10</v>
      </c>
      <c r="AH74" s="501">
        <v>10</v>
      </c>
      <c r="AI74" s="501">
        <v>10</v>
      </c>
      <c r="AJ74" s="501">
        <v>10</v>
      </c>
      <c r="AK74" s="501">
        <v>10</v>
      </c>
      <c r="AL74" s="452"/>
      <c r="AM74" s="452"/>
      <c r="AN74" s="452"/>
      <c r="AO74" s="452"/>
      <c r="AP74" s="452"/>
      <c r="AQ74" s="452"/>
      <c r="AR74" s="452"/>
      <c r="AS74" s="452"/>
      <c r="AT74" s="452"/>
      <c r="AU74" s="452"/>
    </row>
    <row r="75" spans="1:56" ht="13.5" thickBot="1">
      <c r="A75" s="452"/>
      <c r="B75" s="500" t="s">
        <v>525</v>
      </c>
      <c r="C75" s="499">
        <f>355*1000</f>
        <v>355000</v>
      </c>
      <c r="D75" s="896"/>
      <c r="E75" s="896"/>
      <c r="F75" s="899"/>
      <c r="G75" s="498" t="s">
        <v>524</v>
      </c>
      <c r="H75" s="497"/>
      <c r="I75" s="497"/>
      <c r="J75" s="497"/>
      <c r="K75" s="497"/>
      <c r="L75" s="497">
        <v>5</v>
      </c>
      <c r="M75" s="497">
        <v>10</v>
      </c>
      <c r="N75" s="497">
        <v>10</v>
      </c>
      <c r="O75" s="497">
        <v>10</v>
      </c>
      <c r="P75" s="497">
        <v>10</v>
      </c>
      <c r="Q75" s="497">
        <v>10</v>
      </c>
      <c r="R75" s="497">
        <v>10</v>
      </c>
      <c r="S75" s="497">
        <v>10</v>
      </c>
      <c r="T75" s="497">
        <v>10</v>
      </c>
      <c r="U75" s="497">
        <v>10</v>
      </c>
      <c r="V75" s="497">
        <v>10</v>
      </c>
      <c r="W75" s="497">
        <v>10</v>
      </c>
      <c r="X75" s="497">
        <v>10</v>
      </c>
      <c r="Y75" s="497">
        <v>10</v>
      </c>
      <c r="Z75" s="497">
        <v>10</v>
      </c>
      <c r="AA75" s="497">
        <v>10</v>
      </c>
      <c r="AB75" s="497">
        <v>10</v>
      </c>
      <c r="AC75" s="497">
        <v>10</v>
      </c>
      <c r="AD75" s="497">
        <v>10</v>
      </c>
      <c r="AE75" s="497">
        <v>10</v>
      </c>
      <c r="AF75" s="497">
        <v>10</v>
      </c>
      <c r="AG75" s="497">
        <v>10</v>
      </c>
      <c r="AH75" s="497">
        <v>10</v>
      </c>
      <c r="AI75" s="497">
        <v>10</v>
      </c>
      <c r="AJ75" s="497">
        <v>10</v>
      </c>
      <c r="AK75" s="497">
        <v>10</v>
      </c>
      <c r="AL75" s="452"/>
      <c r="AM75" s="452"/>
      <c r="AN75" s="452"/>
      <c r="AO75" s="452"/>
      <c r="AP75" s="452"/>
      <c r="AQ75" s="452"/>
      <c r="AR75" s="452"/>
      <c r="AS75" s="452"/>
      <c r="AT75" s="452"/>
      <c r="AU75" s="452"/>
    </row>
    <row r="76" spans="1:56">
      <c r="A76" s="452"/>
      <c r="B76" s="496" t="s">
        <v>523</v>
      </c>
      <c r="C76" s="495" t="s">
        <v>276</v>
      </c>
      <c r="D76" s="613"/>
      <c r="E76" s="613"/>
      <c r="F76" s="614"/>
      <c r="G76" s="900"/>
      <c r="H76" s="615"/>
      <c r="I76" s="624"/>
      <c r="J76" s="624"/>
      <c r="K76" s="624"/>
      <c r="L76" s="624"/>
      <c r="M76" s="624"/>
      <c r="N76" s="624"/>
      <c r="O76" s="624"/>
      <c r="P76" s="624"/>
      <c r="Q76" s="624"/>
      <c r="R76" s="624"/>
      <c r="S76" s="624"/>
      <c r="T76" s="624"/>
      <c r="U76" s="624"/>
      <c r="V76" s="624"/>
      <c r="W76" s="624"/>
      <c r="X76" s="624"/>
      <c r="Y76" s="624"/>
      <c r="Z76" s="624"/>
      <c r="AA76" s="624"/>
      <c r="AB76" s="624"/>
      <c r="AC76" s="624"/>
      <c r="AD76" s="624"/>
      <c r="AE76" s="624"/>
      <c r="AF76" s="624"/>
      <c r="AG76" s="624"/>
      <c r="AH76" s="624"/>
      <c r="AI76" s="624"/>
      <c r="AJ76" s="624"/>
      <c r="AK76" s="625"/>
      <c r="AL76" s="452"/>
      <c r="AM76" s="452"/>
      <c r="AN76" s="452"/>
      <c r="AO76" s="452"/>
      <c r="AP76" s="452"/>
      <c r="AQ76" s="452"/>
      <c r="AR76" s="452"/>
      <c r="AS76" s="452"/>
      <c r="AT76" s="452"/>
      <c r="AU76" s="452"/>
    </row>
    <row r="77" spans="1:56">
      <c r="A77" s="452"/>
      <c r="B77" s="477" t="s">
        <v>522</v>
      </c>
      <c r="C77" s="476" t="s">
        <v>276</v>
      </c>
      <c r="D77" s="488"/>
      <c r="E77" s="487"/>
      <c r="F77" s="486"/>
      <c r="G77" s="900"/>
      <c r="H77" s="481"/>
      <c r="I77" s="480"/>
      <c r="J77" s="480"/>
      <c r="K77" s="480"/>
      <c r="L77" s="480"/>
      <c r="M77" s="480"/>
      <c r="N77" s="480"/>
      <c r="O77" s="480"/>
      <c r="P77" s="480"/>
      <c r="Q77" s="480"/>
      <c r="R77" s="480"/>
      <c r="S77" s="480"/>
      <c r="T77" s="480"/>
      <c r="U77" s="480"/>
      <c r="V77" s="480"/>
      <c r="W77" s="480"/>
      <c r="X77" s="480"/>
      <c r="Y77" s="480"/>
      <c r="Z77" s="480"/>
      <c r="AA77" s="480"/>
      <c r="AB77" s="480"/>
      <c r="AC77" s="480"/>
      <c r="AD77" s="480"/>
      <c r="AE77" s="480"/>
      <c r="AF77" s="480"/>
      <c r="AG77" s="480"/>
      <c r="AH77" s="480"/>
      <c r="AI77" s="480"/>
      <c r="AJ77" s="480"/>
      <c r="AK77" s="479"/>
      <c r="AL77" s="452"/>
      <c r="AM77" s="452"/>
      <c r="AN77" s="452"/>
      <c r="AO77" s="452"/>
      <c r="AP77" s="452"/>
      <c r="AQ77" s="452"/>
      <c r="AR77" s="452"/>
      <c r="AS77" s="452"/>
      <c r="AT77" s="452"/>
      <c r="AU77" s="452"/>
    </row>
    <row r="78" spans="1:56">
      <c r="A78" s="452"/>
      <c r="B78" s="477" t="s">
        <v>521</v>
      </c>
      <c r="C78" s="476" t="s">
        <v>276</v>
      </c>
      <c r="D78" s="475">
        <v>0.64</v>
      </c>
      <c r="E78" s="474">
        <f>C75</f>
        <v>355000</v>
      </c>
      <c r="F78" s="473">
        <f>D78*E78</f>
        <v>227200</v>
      </c>
      <c r="G78" s="900"/>
      <c r="H78" s="472">
        <f>$F$78*H74</f>
        <v>0</v>
      </c>
      <c r="I78" s="471">
        <f t="shared" ref="I78:AK78" si="36">$F$78*I74</f>
        <v>0</v>
      </c>
      <c r="J78" s="471">
        <f t="shared" si="36"/>
        <v>0</v>
      </c>
      <c r="K78" s="471">
        <f t="shared" si="36"/>
        <v>0</v>
      </c>
      <c r="L78" s="471">
        <f t="shared" si="36"/>
        <v>1136000</v>
      </c>
      <c r="M78" s="471">
        <f t="shared" si="36"/>
        <v>2272000</v>
      </c>
      <c r="N78" s="471">
        <f t="shared" si="36"/>
        <v>2272000</v>
      </c>
      <c r="O78" s="471">
        <f t="shared" si="36"/>
        <v>2272000</v>
      </c>
      <c r="P78" s="471">
        <f t="shared" si="36"/>
        <v>2272000</v>
      </c>
      <c r="Q78" s="471">
        <f t="shared" si="36"/>
        <v>2272000</v>
      </c>
      <c r="R78" s="471">
        <f t="shared" si="36"/>
        <v>2272000</v>
      </c>
      <c r="S78" s="471">
        <f t="shared" si="36"/>
        <v>2272000</v>
      </c>
      <c r="T78" s="471">
        <f t="shared" si="36"/>
        <v>2272000</v>
      </c>
      <c r="U78" s="471">
        <f t="shared" si="36"/>
        <v>2272000</v>
      </c>
      <c r="V78" s="471">
        <f t="shared" si="36"/>
        <v>2272000</v>
      </c>
      <c r="W78" s="471">
        <f t="shared" si="36"/>
        <v>2272000</v>
      </c>
      <c r="X78" s="471">
        <f t="shared" si="36"/>
        <v>2272000</v>
      </c>
      <c r="Y78" s="471">
        <f t="shared" si="36"/>
        <v>2272000</v>
      </c>
      <c r="Z78" s="471">
        <f t="shared" si="36"/>
        <v>2272000</v>
      </c>
      <c r="AA78" s="471">
        <f t="shared" si="36"/>
        <v>2272000</v>
      </c>
      <c r="AB78" s="471">
        <f t="shared" si="36"/>
        <v>2272000</v>
      </c>
      <c r="AC78" s="471">
        <f t="shared" si="36"/>
        <v>2272000</v>
      </c>
      <c r="AD78" s="471">
        <f t="shared" si="36"/>
        <v>2272000</v>
      </c>
      <c r="AE78" s="471">
        <f t="shared" si="36"/>
        <v>2272000</v>
      </c>
      <c r="AF78" s="471">
        <f t="shared" si="36"/>
        <v>2272000</v>
      </c>
      <c r="AG78" s="471">
        <f t="shared" si="36"/>
        <v>2272000</v>
      </c>
      <c r="AH78" s="471">
        <f t="shared" si="36"/>
        <v>2272000</v>
      </c>
      <c r="AI78" s="471">
        <f t="shared" si="36"/>
        <v>2272000</v>
      </c>
      <c r="AJ78" s="471">
        <f t="shared" si="36"/>
        <v>2272000</v>
      </c>
      <c r="AK78" s="470">
        <f t="shared" si="36"/>
        <v>2272000</v>
      </c>
      <c r="AL78" s="452"/>
      <c r="AM78" s="452"/>
      <c r="AN78" s="452"/>
      <c r="AO78" s="452"/>
      <c r="AP78" s="452"/>
      <c r="AQ78" s="452"/>
      <c r="AR78" s="452"/>
      <c r="AS78" s="452"/>
      <c r="AT78" s="452"/>
      <c r="AU78" s="452"/>
    </row>
    <row r="79" spans="1:56">
      <c r="A79" s="485"/>
      <c r="B79" s="477" t="s">
        <v>284</v>
      </c>
      <c r="C79" s="476" t="s">
        <v>276</v>
      </c>
      <c r="D79" s="484"/>
      <c r="E79" s="483"/>
      <c r="F79" s="482"/>
      <c r="G79" s="900"/>
      <c r="H79" s="481"/>
      <c r="I79" s="480"/>
      <c r="J79" s="480"/>
      <c r="K79" s="480"/>
      <c r="L79" s="480"/>
      <c r="M79" s="480"/>
      <c r="N79" s="480"/>
      <c r="O79" s="480"/>
      <c r="P79" s="480"/>
      <c r="Q79" s="480"/>
      <c r="R79" s="480"/>
      <c r="S79" s="480"/>
      <c r="T79" s="480"/>
      <c r="U79" s="480"/>
      <c r="V79" s="480"/>
      <c r="W79" s="480"/>
      <c r="X79" s="480"/>
      <c r="Y79" s="480"/>
      <c r="Z79" s="480"/>
      <c r="AA79" s="480"/>
      <c r="AB79" s="480"/>
      <c r="AC79" s="480"/>
      <c r="AD79" s="480"/>
      <c r="AE79" s="480"/>
      <c r="AF79" s="480"/>
      <c r="AG79" s="480"/>
      <c r="AH79" s="480"/>
      <c r="AI79" s="480"/>
      <c r="AJ79" s="480"/>
      <c r="AK79" s="479"/>
      <c r="AL79" s="485"/>
      <c r="AM79" s="452"/>
      <c r="AN79" s="452"/>
      <c r="AO79" s="452"/>
      <c r="AP79" s="452"/>
      <c r="AQ79" s="452"/>
      <c r="AR79" s="452"/>
      <c r="AS79" s="452"/>
      <c r="AT79" s="452"/>
      <c r="AU79" s="452"/>
    </row>
    <row r="80" spans="1:56">
      <c r="A80" s="452"/>
      <c r="B80" s="477" t="s">
        <v>287</v>
      </c>
      <c r="C80" s="476" t="s">
        <v>276</v>
      </c>
      <c r="D80" s="484"/>
      <c r="E80" s="483"/>
      <c r="F80" s="482"/>
      <c r="G80" s="900"/>
      <c r="H80" s="481"/>
      <c r="I80" s="480"/>
      <c r="J80" s="480"/>
      <c r="K80" s="480"/>
      <c r="L80" s="480"/>
      <c r="M80" s="480"/>
      <c r="N80" s="480"/>
      <c r="O80" s="480"/>
      <c r="P80" s="480"/>
      <c r="Q80" s="480"/>
      <c r="R80" s="480"/>
      <c r="S80" s="480"/>
      <c r="T80" s="480"/>
      <c r="U80" s="480"/>
      <c r="V80" s="480"/>
      <c r="W80" s="480"/>
      <c r="X80" s="480"/>
      <c r="Y80" s="480"/>
      <c r="Z80" s="480"/>
      <c r="AA80" s="480"/>
      <c r="AB80" s="480"/>
      <c r="AC80" s="480"/>
      <c r="AD80" s="480"/>
      <c r="AE80" s="480"/>
      <c r="AF80" s="480"/>
      <c r="AG80" s="480"/>
      <c r="AH80" s="480"/>
      <c r="AI80" s="480"/>
      <c r="AJ80" s="480"/>
      <c r="AK80" s="479"/>
      <c r="AL80" s="452"/>
      <c r="AM80" s="452"/>
      <c r="AN80" s="485"/>
      <c r="AO80" s="485"/>
      <c r="AP80" s="452"/>
      <c r="AQ80" s="452"/>
      <c r="AR80" s="452"/>
      <c r="AS80" s="452"/>
      <c r="AT80" s="452"/>
      <c r="AU80" s="452"/>
      <c r="BC80" s="429"/>
      <c r="BD80" s="429"/>
    </row>
    <row r="81" spans="1:56">
      <c r="A81" s="452"/>
      <c r="B81" s="477" t="s">
        <v>520</v>
      </c>
      <c r="C81" s="476" t="s">
        <v>276</v>
      </c>
      <c r="D81" s="484"/>
      <c r="E81" s="484"/>
      <c r="F81" s="626"/>
      <c r="G81" s="900"/>
      <c r="H81" s="481"/>
      <c r="I81" s="480"/>
      <c r="J81" s="480"/>
      <c r="K81" s="480"/>
      <c r="L81" s="480"/>
      <c r="M81" s="480"/>
      <c r="N81" s="480"/>
      <c r="O81" s="480"/>
      <c r="P81" s="480"/>
      <c r="Q81" s="480"/>
      <c r="R81" s="480"/>
      <c r="S81" s="480"/>
      <c r="T81" s="480"/>
      <c r="U81" s="480"/>
      <c r="V81" s="480"/>
      <c r="W81" s="480"/>
      <c r="X81" s="480"/>
      <c r="Y81" s="480"/>
      <c r="Z81" s="480"/>
      <c r="AA81" s="480"/>
      <c r="AB81" s="480"/>
      <c r="AC81" s="480"/>
      <c r="AD81" s="480"/>
      <c r="AE81" s="480"/>
      <c r="AF81" s="480"/>
      <c r="AG81" s="480"/>
      <c r="AH81" s="480"/>
      <c r="AI81" s="480"/>
      <c r="AJ81" s="480"/>
      <c r="AK81" s="479"/>
      <c r="AL81" s="452"/>
      <c r="AM81" s="452"/>
      <c r="AN81" s="452"/>
      <c r="AO81" s="452"/>
      <c r="AP81" s="485"/>
      <c r="AQ81" s="485"/>
      <c r="AR81" s="485"/>
      <c r="AS81" s="485"/>
      <c r="AT81" s="485"/>
      <c r="AU81" s="485"/>
      <c r="AV81" s="429"/>
      <c r="AW81" s="429"/>
      <c r="AX81" s="429"/>
      <c r="AY81" s="429"/>
      <c r="AZ81" s="429"/>
      <c r="BA81" s="429"/>
      <c r="BB81" s="429"/>
    </row>
    <row r="82" spans="1:56" s="429" customFormat="1">
      <c r="A82" s="452"/>
      <c r="B82" s="477" t="s">
        <v>330</v>
      </c>
      <c r="C82" s="476" t="s">
        <v>276</v>
      </c>
      <c r="D82" s="475">
        <v>1.84</v>
      </c>
      <c r="E82" s="474">
        <f>C75</f>
        <v>355000</v>
      </c>
      <c r="F82" s="473">
        <f t="shared" ref="F82:F83" si="37">D82*E82</f>
        <v>653200</v>
      </c>
      <c r="G82" s="900"/>
      <c r="H82" s="472">
        <f>$F$82*H74</f>
        <v>0</v>
      </c>
      <c r="I82" s="471">
        <f t="shared" ref="I82:AK82" si="38">$F$82*I74</f>
        <v>0</v>
      </c>
      <c r="J82" s="471">
        <f t="shared" si="38"/>
        <v>0</v>
      </c>
      <c r="K82" s="471">
        <f t="shared" si="38"/>
        <v>0</v>
      </c>
      <c r="L82" s="471">
        <f t="shared" si="38"/>
        <v>3266000</v>
      </c>
      <c r="M82" s="471">
        <f t="shared" si="38"/>
        <v>6532000</v>
      </c>
      <c r="N82" s="471">
        <f t="shared" si="38"/>
        <v>6532000</v>
      </c>
      <c r="O82" s="471">
        <f t="shared" si="38"/>
        <v>6532000</v>
      </c>
      <c r="P82" s="471">
        <f t="shared" si="38"/>
        <v>6532000</v>
      </c>
      <c r="Q82" s="471">
        <f t="shared" si="38"/>
        <v>6532000</v>
      </c>
      <c r="R82" s="471">
        <f t="shared" si="38"/>
        <v>6532000</v>
      </c>
      <c r="S82" s="471">
        <f t="shared" si="38"/>
        <v>6532000</v>
      </c>
      <c r="T82" s="471">
        <f t="shared" si="38"/>
        <v>6532000</v>
      </c>
      <c r="U82" s="471">
        <f t="shared" si="38"/>
        <v>6532000</v>
      </c>
      <c r="V82" s="471">
        <f t="shared" si="38"/>
        <v>6532000</v>
      </c>
      <c r="W82" s="471">
        <f t="shared" si="38"/>
        <v>6532000</v>
      </c>
      <c r="X82" s="471">
        <f t="shared" si="38"/>
        <v>6532000</v>
      </c>
      <c r="Y82" s="471">
        <f t="shared" si="38"/>
        <v>6532000</v>
      </c>
      <c r="Z82" s="471">
        <f t="shared" si="38"/>
        <v>6532000</v>
      </c>
      <c r="AA82" s="471">
        <f t="shared" si="38"/>
        <v>6532000</v>
      </c>
      <c r="AB82" s="471">
        <f t="shared" si="38"/>
        <v>6532000</v>
      </c>
      <c r="AC82" s="471">
        <f t="shared" si="38"/>
        <v>6532000</v>
      </c>
      <c r="AD82" s="471">
        <f t="shared" si="38"/>
        <v>6532000</v>
      </c>
      <c r="AE82" s="471">
        <f t="shared" si="38"/>
        <v>6532000</v>
      </c>
      <c r="AF82" s="471">
        <f t="shared" si="38"/>
        <v>6532000</v>
      </c>
      <c r="AG82" s="471">
        <f t="shared" si="38"/>
        <v>6532000</v>
      </c>
      <c r="AH82" s="471">
        <f t="shared" si="38"/>
        <v>6532000</v>
      </c>
      <c r="AI82" s="471">
        <f t="shared" si="38"/>
        <v>6532000</v>
      </c>
      <c r="AJ82" s="471">
        <f t="shared" si="38"/>
        <v>6532000</v>
      </c>
      <c r="AK82" s="470">
        <f t="shared" si="38"/>
        <v>6532000</v>
      </c>
      <c r="AL82" s="452"/>
      <c r="AM82" s="452"/>
      <c r="AN82" s="452"/>
      <c r="AO82" s="452"/>
      <c r="AP82" s="452"/>
      <c r="AQ82" s="452"/>
      <c r="AR82" s="452"/>
      <c r="AS82" s="452"/>
      <c r="AT82" s="452"/>
      <c r="AU82" s="452"/>
      <c r="AV82" s="428"/>
      <c r="AW82" s="428"/>
      <c r="AX82" s="428"/>
      <c r="AY82" s="428"/>
      <c r="AZ82" s="428"/>
      <c r="BA82" s="428"/>
      <c r="BB82" s="428"/>
      <c r="BC82" s="428"/>
      <c r="BD82" s="428"/>
    </row>
    <row r="83" spans="1:56">
      <c r="A83" s="452"/>
      <c r="B83" s="477" t="s">
        <v>331</v>
      </c>
      <c r="C83" s="476" t="s">
        <v>276</v>
      </c>
      <c r="D83" s="475">
        <v>1.93</v>
      </c>
      <c r="E83" s="474">
        <f>C75</f>
        <v>355000</v>
      </c>
      <c r="F83" s="473">
        <f t="shared" si="37"/>
        <v>685150</v>
      </c>
      <c r="G83" s="900"/>
      <c r="H83" s="472">
        <f>$F$83*H74</f>
        <v>0</v>
      </c>
      <c r="I83" s="471">
        <f t="shared" ref="I83:AK83" si="39">$F$83*I74</f>
        <v>0</v>
      </c>
      <c r="J83" s="471">
        <f t="shared" si="39"/>
        <v>0</v>
      </c>
      <c r="K83" s="471">
        <f t="shared" si="39"/>
        <v>0</v>
      </c>
      <c r="L83" s="471">
        <f t="shared" si="39"/>
        <v>3425750</v>
      </c>
      <c r="M83" s="471">
        <f t="shared" si="39"/>
        <v>6851500</v>
      </c>
      <c r="N83" s="471">
        <f t="shared" si="39"/>
        <v>6851500</v>
      </c>
      <c r="O83" s="471">
        <f t="shared" si="39"/>
        <v>6851500</v>
      </c>
      <c r="P83" s="471">
        <f t="shared" si="39"/>
        <v>6851500</v>
      </c>
      <c r="Q83" s="471">
        <f t="shared" si="39"/>
        <v>6851500</v>
      </c>
      <c r="R83" s="471">
        <f t="shared" si="39"/>
        <v>6851500</v>
      </c>
      <c r="S83" s="471">
        <f t="shared" si="39"/>
        <v>6851500</v>
      </c>
      <c r="T83" s="471">
        <f t="shared" si="39"/>
        <v>6851500</v>
      </c>
      <c r="U83" s="471">
        <f t="shared" si="39"/>
        <v>6851500</v>
      </c>
      <c r="V83" s="471">
        <f t="shared" si="39"/>
        <v>6851500</v>
      </c>
      <c r="W83" s="471">
        <f t="shared" si="39"/>
        <v>6851500</v>
      </c>
      <c r="X83" s="471">
        <f t="shared" si="39"/>
        <v>6851500</v>
      </c>
      <c r="Y83" s="471">
        <f t="shared" si="39"/>
        <v>6851500</v>
      </c>
      <c r="Z83" s="471">
        <f t="shared" si="39"/>
        <v>6851500</v>
      </c>
      <c r="AA83" s="471">
        <f t="shared" si="39"/>
        <v>6851500</v>
      </c>
      <c r="AB83" s="471">
        <f t="shared" si="39"/>
        <v>6851500</v>
      </c>
      <c r="AC83" s="471">
        <f t="shared" si="39"/>
        <v>6851500</v>
      </c>
      <c r="AD83" s="471">
        <f t="shared" si="39"/>
        <v>6851500</v>
      </c>
      <c r="AE83" s="471">
        <f t="shared" si="39"/>
        <v>6851500</v>
      </c>
      <c r="AF83" s="471">
        <f t="shared" si="39"/>
        <v>6851500</v>
      </c>
      <c r="AG83" s="471">
        <f t="shared" si="39"/>
        <v>6851500</v>
      </c>
      <c r="AH83" s="471">
        <f t="shared" si="39"/>
        <v>6851500</v>
      </c>
      <c r="AI83" s="471">
        <f t="shared" si="39"/>
        <v>6851500</v>
      </c>
      <c r="AJ83" s="471">
        <f t="shared" si="39"/>
        <v>6851500</v>
      </c>
      <c r="AK83" s="470">
        <f t="shared" si="39"/>
        <v>6851500</v>
      </c>
      <c r="AL83" s="452"/>
      <c r="AM83" s="452"/>
      <c r="AN83" s="452"/>
      <c r="AO83" s="452"/>
      <c r="AP83" s="452"/>
      <c r="AQ83" s="452"/>
      <c r="AR83" s="452"/>
      <c r="AS83" s="452"/>
      <c r="AT83" s="452"/>
      <c r="AU83" s="452"/>
    </row>
    <row r="84" spans="1:56" ht="13.5" thickBot="1">
      <c r="A84" s="452"/>
      <c r="B84" s="469" t="s">
        <v>519</v>
      </c>
      <c r="C84" s="468" t="s">
        <v>276</v>
      </c>
      <c r="D84" s="527">
        <v>15</v>
      </c>
      <c r="E84" s="526">
        <f>C75</f>
        <v>355000</v>
      </c>
      <c r="F84" s="627">
        <f>D84*E84</f>
        <v>5325000</v>
      </c>
      <c r="G84" s="900"/>
      <c r="H84" s="464"/>
      <c r="I84" s="463"/>
      <c r="J84" s="463"/>
      <c r="K84" s="463"/>
      <c r="L84" s="628">
        <f t="shared" ref="L84:AK84" si="40">$F$84*L74</f>
        <v>26625000</v>
      </c>
      <c r="M84" s="628">
        <f t="shared" si="40"/>
        <v>53250000</v>
      </c>
      <c r="N84" s="628">
        <f t="shared" si="40"/>
        <v>53250000</v>
      </c>
      <c r="O84" s="628">
        <f t="shared" si="40"/>
        <v>53250000</v>
      </c>
      <c r="P84" s="628">
        <f t="shared" si="40"/>
        <v>53250000</v>
      </c>
      <c r="Q84" s="628">
        <f t="shared" si="40"/>
        <v>53250000</v>
      </c>
      <c r="R84" s="628">
        <f t="shared" si="40"/>
        <v>53250000</v>
      </c>
      <c r="S84" s="628">
        <f t="shared" si="40"/>
        <v>53250000</v>
      </c>
      <c r="T84" s="628">
        <f t="shared" si="40"/>
        <v>53250000</v>
      </c>
      <c r="U84" s="628">
        <f t="shared" si="40"/>
        <v>53250000</v>
      </c>
      <c r="V84" s="628">
        <f t="shared" si="40"/>
        <v>53250000</v>
      </c>
      <c r="W84" s="628">
        <f t="shared" si="40"/>
        <v>53250000</v>
      </c>
      <c r="X84" s="628">
        <f t="shared" si="40"/>
        <v>53250000</v>
      </c>
      <c r="Y84" s="628">
        <f t="shared" si="40"/>
        <v>53250000</v>
      </c>
      <c r="Z84" s="628">
        <f t="shared" si="40"/>
        <v>53250000</v>
      </c>
      <c r="AA84" s="628">
        <f t="shared" si="40"/>
        <v>53250000</v>
      </c>
      <c r="AB84" s="628">
        <f t="shared" si="40"/>
        <v>53250000</v>
      </c>
      <c r="AC84" s="628">
        <f t="shared" si="40"/>
        <v>53250000</v>
      </c>
      <c r="AD84" s="628">
        <f t="shared" si="40"/>
        <v>53250000</v>
      </c>
      <c r="AE84" s="628">
        <f t="shared" si="40"/>
        <v>53250000</v>
      </c>
      <c r="AF84" s="628">
        <f t="shared" si="40"/>
        <v>53250000</v>
      </c>
      <c r="AG84" s="628">
        <f t="shared" si="40"/>
        <v>53250000</v>
      </c>
      <c r="AH84" s="628">
        <f t="shared" si="40"/>
        <v>53250000</v>
      </c>
      <c r="AI84" s="628">
        <f t="shared" si="40"/>
        <v>53250000</v>
      </c>
      <c r="AJ84" s="628">
        <f t="shared" si="40"/>
        <v>53250000</v>
      </c>
      <c r="AK84" s="629">
        <f t="shared" si="40"/>
        <v>53250000</v>
      </c>
      <c r="AL84" s="520"/>
      <c r="AM84" s="452"/>
      <c r="AN84" s="452"/>
      <c r="AO84" s="452"/>
      <c r="AP84" s="452"/>
      <c r="AQ84" s="452"/>
      <c r="AR84" s="452"/>
      <c r="AS84" s="452"/>
      <c r="AT84" s="452"/>
      <c r="AU84" s="452"/>
    </row>
    <row r="85" spans="1:56" ht="13.5" thickTop="1">
      <c r="A85" s="452"/>
      <c r="B85" s="461" t="s">
        <v>518</v>
      </c>
      <c r="C85" s="460" t="s">
        <v>276</v>
      </c>
      <c r="D85" s="459">
        <v>1.1200000000000001</v>
      </c>
      <c r="E85" s="458">
        <f>C75</f>
        <v>355000</v>
      </c>
      <c r="F85" s="457">
        <f t="shared" ref="F85" si="41">D85*E85</f>
        <v>397600.00000000006</v>
      </c>
      <c r="G85" s="900"/>
      <c r="H85" s="630">
        <f t="shared" ref="H85:AK85" si="42">$F$85*H74</f>
        <v>0</v>
      </c>
      <c r="I85" s="631">
        <f t="shared" si="42"/>
        <v>0</v>
      </c>
      <c r="J85" s="631">
        <f t="shared" si="42"/>
        <v>0</v>
      </c>
      <c r="K85" s="631">
        <f t="shared" si="42"/>
        <v>0</v>
      </c>
      <c r="L85" s="631">
        <f t="shared" si="42"/>
        <v>1988000.0000000002</v>
      </c>
      <c r="M85" s="631">
        <f t="shared" si="42"/>
        <v>3976000.0000000005</v>
      </c>
      <c r="N85" s="631">
        <f t="shared" si="42"/>
        <v>3976000.0000000005</v>
      </c>
      <c r="O85" s="631">
        <f t="shared" si="42"/>
        <v>3976000.0000000005</v>
      </c>
      <c r="P85" s="631">
        <f t="shared" si="42"/>
        <v>3976000.0000000005</v>
      </c>
      <c r="Q85" s="631">
        <f t="shared" si="42"/>
        <v>3976000.0000000005</v>
      </c>
      <c r="R85" s="631">
        <f t="shared" si="42"/>
        <v>3976000.0000000005</v>
      </c>
      <c r="S85" s="631">
        <f t="shared" si="42"/>
        <v>3976000.0000000005</v>
      </c>
      <c r="T85" s="631">
        <f t="shared" si="42"/>
        <v>3976000.0000000005</v>
      </c>
      <c r="U85" s="631">
        <f t="shared" si="42"/>
        <v>3976000.0000000005</v>
      </c>
      <c r="V85" s="631">
        <f t="shared" si="42"/>
        <v>3976000.0000000005</v>
      </c>
      <c r="W85" s="631">
        <f t="shared" si="42"/>
        <v>3976000.0000000005</v>
      </c>
      <c r="X85" s="631">
        <f t="shared" si="42"/>
        <v>3976000.0000000005</v>
      </c>
      <c r="Y85" s="631">
        <f t="shared" si="42"/>
        <v>3976000.0000000005</v>
      </c>
      <c r="Z85" s="631">
        <f t="shared" si="42"/>
        <v>3976000.0000000005</v>
      </c>
      <c r="AA85" s="631">
        <f t="shared" si="42"/>
        <v>3976000.0000000005</v>
      </c>
      <c r="AB85" s="631">
        <f t="shared" si="42"/>
        <v>3976000.0000000005</v>
      </c>
      <c r="AC85" s="631">
        <f t="shared" si="42"/>
        <v>3976000.0000000005</v>
      </c>
      <c r="AD85" s="631">
        <f t="shared" si="42"/>
        <v>3976000.0000000005</v>
      </c>
      <c r="AE85" s="631">
        <f t="shared" si="42"/>
        <v>3976000.0000000005</v>
      </c>
      <c r="AF85" s="631">
        <f t="shared" si="42"/>
        <v>3976000.0000000005</v>
      </c>
      <c r="AG85" s="631">
        <f t="shared" si="42"/>
        <v>3976000.0000000005</v>
      </c>
      <c r="AH85" s="631">
        <f t="shared" si="42"/>
        <v>3976000.0000000005</v>
      </c>
      <c r="AI85" s="631">
        <f t="shared" si="42"/>
        <v>3976000.0000000005</v>
      </c>
      <c r="AJ85" s="631">
        <f t="shared" si="42"/>
        <v>3976000.0000000005</v>
      </c>
      <c r="AK85" s="632">
        <f t="shared" si="42"/>
        <v>3976000.0000000005</v>
      </c>
      <c r="AL85" s="452"/>
      <c r="AM85" s="452"/>
      <c r="AN85" s="452"/>
      <c r="AO85" s="452"/>
      <c r="AP85" s="452"/>
      <c r="AQ85" s="452"/>
      <c r="AR85" s="452"/>
      <c r="AS85" s="452"/>
      <c r="AT85" s="452"/>
      <c r="AU85" s="452"/>
    </row>
    <row r="86" spans="1:56" ht="13.5" thickBot="1">
      <c r="A86" s="452"/>
      <c r="B86" s="516" t="s">
        <v>517</v>
      </c>
      <c r="C86" s="515" t="s">
        <v>276</v>
      </c>
      <c r="D86" s="514">
        <v>100000</v>
      </c>
      <c r="E86" s="514">
        <v>1</v>
      </c>
      <c r="F86" s="512">
        <f>D86*E86</f>
        <v>100000</v>
      </c>
      <c r="G86" s="901"/>
      <c r="H86" s="511"/>
      <c r="I86" s="510"/>
      <c r="J86" s="510"/>
      <c r="K86" s="510"/>
      <c r="L86" s="510">
        <f>$F$86*L74</f>
        <v>500000</v>
      </c>
      <c r="M86" s="510">
        <f t="shared" ref="M86:AK86" si="43">$F$86*M74</f>
        <v>1000000</v>
      </c>
      <c r="N86" s="510">
        <f t="shared" si="43"/>
        <v>1000000</v>
      </c>
      <c r="O86" s="510">
        <f t="shared" si="43"/>
        <v>1000000</v>
      </c>
      <c r="P86" s="510">
        <f t="shared" si="43"/>
        <v>1000000</v>
      </c>
      <c r="Q86" s="510">
        <f t="shared" si="43"/>
        <v>1000000</v>
      </c>
      <c r="R86" s="510">
        <f t="shared" si="43"/>
        <v>1000000</v>
      </c>
      <c r="S86" s="510">
        <f t="shared" si="43"/>
        <v>1000000</v>
      </c>
      <c r="T86" s="510">
        <f t="shared" si="43"/>
        <v>1000000</v>
      </c>
      <c r="U86" s="510">
        <f t="shared" si="43"/>
        <v>1000000</v>
      </c>
      <c r="V86" s="510">
        <f t="shared" si="43"/>
        <v>1000000</v>
      </c>
      <c r="W86" s="510">
        <f t="shared" si="43"/>
        <v>1000000</v>
      </c>
      <c r="X86" s="510">
        <f t="shared" si="43"/>
        <v>1000000</v>
      </c>
      <c r="Y86" s="510">
        <f t="shared" si="43"/>
        <v>1000000</v>
      </c>
      <c r="Z86" s="510">
        <f t="shared" si="43"/>
        <v>1000000</v>
      </c>
      <c r="AA86" s="510">
        <f t="shared" si="43"/>
        <v>1000000</v>
      </c>
      <c r="AB86" s="510">
        <f t="shared" si="43"/>
        <v>1000000</v>
      </c>
      <c r="AC86" s="510">
        <f t="shared" si="43"/>
        <v>1000000</v>
      </c>
      <c r="AD86" s="510">
        <f t="shared" si="43"/>
        <v>1000000</v>
      </c>
      <c r="AE86" s="510">
        <f t="shared" si="43"/>
        <v>1000000</v>
      </c>
      <c r="AF86" s="510">
        <f t="shared" si="43"/>
        <v>1000000</v>
      </c>
      <c r="AG86" s="510">
        <f t="shared" si="43"/>
        <v>1000000</v>
      </c>
      <c r="AH86" s="510">
        <f t="shared" si="43"/>
        <v>1000000</v>
      </c>
      <c r="AI86" s="510">
        <f t="shared" si="43"/>
        <v>1000000</v>
      </c>
      <c r="AJ86" s="510">
        <f t="shared" si="43"/>
        <v>1000000</v>
      </c>
      <c r="AK86" s="509">
        <f t="shared" si="43"/>
        <v>1000000</v>
      </c>
      <c r="AL86" s="452"/>
      <c r="AM86" s="452"/>
      <c r="AN86" s="452"/>
      <c r="AO86" s="452"/>
      <c r="AP86" s="452"/>
      <c r="AQ86" s="452"/>
      <c r="AR86" s="452"/>
      <c r="AS86" s="452"/>
      <c r="AT86" s="452"/>
      <c r="AU86" s="452"/>
    </row>
    <row r="87" spans="1:56">
      <c r="H87" s="443"/>
      <c r="L87" s="443"/>
      <c r="M87" s="443"/>
      <c r="N87" s="443"/>
      <c r="O87" s="443"/>
      <c r="P87" s="443"/>
      <c r="Q87" s="443"/>
      <c r="R87" s="443"/>
      <c r="S87" s="443"/>
      <c r="T87" s="443"/>
      <c r="U87" s="443"/>
      <c r="V87" s="443"/>
      <c r="W87" s="443"/>
      <c r="X87" s="443"/>
      <c r="Y87" s="443"/>
      <c r="Z87" s="443"/>
      <c r="AA87" s="443"/>
      <c r="AB87" s="443"/>
      <c r="AC87" s="443"/>
      <c r="AD87" s="443"/>
      <c r="AE87" s="443"/>
      <c r="AF87" s="443"/>
      <c r="AG87" s="443"/>
      <c r="AH87" s="443"/>
      <c r="AI87" s="443"/>
      <c r="AJ87" s="443"/>
      <c r="AK87" s="443"/>
    </row>
    <row r="88" spans="1:56">
      <c r="H88" s="443"/>
      <c r="I88" s="443"/>
      <c r="L88" s="443"/>
    </row>
    <row r="89" spans="1:56">
      <c r="B89" s="432"/>
      <c r="C89" s="436"/>
      <c r="D89" s="436" t="s">
        <v>10</v>
      </c>
      <c r="E89" s="436"/>
      <c r="F89" s="436"/>
      <c r="G89" s="436"/>
      <c r="H89" s="436"/>
      <c r="I89" s="436"/>
      <c r="J89" s="436"/>
      <c r="K89" s="436"/>
      <c r="L89" s="436"/>
      <c r="M89" s="436"/>
      <c r="N89" s="436"/>
      <c r="O89" s="436"/>
      <c r="P89" s="436"/>
      <c r="Q89" s="436"/>
      <c r="R89" s="436"/>
      <c r="S89" s="436"/>
      <c r="T89" s="436"/>
      <c r="U89" s="436"/>
      <c r="V89" s="436"/>
      <c r="W89" s="436"/>
      <c r="X89" s="436"/>
      <c r="Y89" s="436"/>
      <c r="Z89" s="436"/>
      <c r="AA89" s="436"/>
      <c r="AB89" s="436"/>
      <c r="AC89" s="436"/>
      <c r="AD89" s="436"/>
      <c r="AE89" s="436"/>
      <c r="AF89" s="436"/>
      <c r="AG89" s="436"/>
      <c r="AO89" s="429"/>
    </row>
    <row r="90" spans="1:56">
      <c r="A90" s="432"/>
      <c r="B90" s="438" t="s">
        <v>57</v>
      </c>
      <c r="C90" s="438"/>
      <c r="D90" s="442">
        <v>1</v>
      </c>
      <c r="E90" s="442">
        <v>2</v>
      </c>
      <c r="F90" s="442">
        <v>3</v>
      </c>
      <c r="G90" s="442">
        <v>4</v>
      </c>
      <c r="H90" s="442">
        <v>5</v>
      </c>
      <c r="I90" s="442">
        <v>6</v>
      </c>
      <c r="J90" s="442">
        <v>7</v>
      </c>
      <c r="K90" s="442">
        <v>8</v>
      </c>
      <c r="L90" s="442">
        <v>9</v>
      </c>
      <c r="M90" s="442">
        <v>10</v>
      </c>
      <c r="N90" s="442">
        <v>11</v>
      </c>
      <c r="O90" s="442">
        <v>12</v>
      </c>
      <c r="P90" s="442">
        <v>13</v>
      </c>
      <c r="Q90" s="442">
        <v>14</v>
      </c>
      <c r="R90" s="442">
        <v>15</v>
      </c>
      <c r="S90" s="442">
        <v>16</v>
      </c>
      <c r="T90" s="442">
        <v>17</v>
      </c>
      <c r="U90" s="442">
        <v>18</v>
      </c>
      <c r="V90" s="442">
        <v>19</v>
      </c>
      <c r="W90" s="442">
        <v>20</v>
      </c>
      <c r="X90" s="442">
        <v>21</v>
      </c>
      <c r="Y90" s="442">
        <v>22</v>
      </c>
      <c r="Z90" s="442">
        <v>23</v>
      </c>
      <c r="AA90" s="442">
        <v>24</v>
      </c>
      <c r="AB90" s="442">
        <v>25</v>
      </c>
      <c r="AC90" s="442">
        <v>26</v>
      </c>
      <c r="AD90" s="442">
        <v>27</v>
      </c>
      <c r="AE90" s="442">
        <v>28</v>
      </c>
      <c r="AF90" s="442">
        <v>29</v>
      </c>
      <c r="AG90" s="442">
        <v>30</v>
      </c>
    </row>
    <row r="91" spans="1:56">
      <c r="A91" s="432"/>
      <c r="B91" s="441" t="s">
        <v>547</v>
      </c>
      <c r="C91" s="441" t="s">
        <v>9</v>
      </c>
      <c r="D91" s="440">
        <v>2023</v>
      </c>
      <c r="E91" s="440">
        <f t="shared" ref="E91:AG91" si="44">$D$91+D90</f>
        <v>2024</v>
      </c>
      <c r="F91" s="440">
        <f t="shared" si="44"/>
        <v>2025</v>
      </c>
      <c r="G91" s="440">
        <f t="shared" si="44"/>
        <v>2026</v>
      </c>
      <c r="H91" s="440">
        <f t="shared" si="44"/>
        <v>2027</v>
      </c>
      <c r="I91" s="440">
        <f t="shared" si="44"/>
        <v>2028</v>
      </c>
      <c r="J91" s="440">
        <f t="shared" si="44"/>
        <v>2029</v>
      </c>
      <c r="K91" s="440">
        <f t="shared" si="44"/>
        <v>2030</v>
      </c>
      <c r="L91" s="440">
        <f t="shared" si="44"/>
        <v>2031</v>
      </c>
      <c r="M91" s="440">
        <f t="shared" si="44"/>
        <v>2032</v>
      </c>
      <c r="N91" s="440">
        <f t="shared" si="44"/>
        <v>2033</v>
      </c>
      <c r="O91" s="440">
        <f t="shared" si="44"/>
        <v>2034</v>
      </c>
      <c r="P91" s="440">
        <f t="shared" si="44"/>
        <v>2035</v>
      </c>
      <c r="Q91" s="440">
        <f t="shared" si="44"/>
        <v>2036</v>
      </c>
      <c r="R91" s="440">
        <f t="shared" si="44"/>
        <v>2037</v>
      </c>
      <c r="S91" s="440">
        <f t="shared" si="44"/>
        <v>2038</v>
      </c>
      <c r="T91" s="440">
        <f t="shared" si="44"/>
        <v>2039</v>
      </c>
      <c r="U91" s="440">
        <f t="shared" si="44"/>
        <v>2040</v>
      </c>
      <c r="V91" s="440">
        <f t="shared" si="44"/>
        <v>2041</v>
      </c>
      <c r="W91" s="440">
        <f t="shared" si="44"/>
        <v>2042</v>
      </c>
      <c r="X91" s="440">
        <f t="shared" si="44"/>
        <v>2043</v>
      </c>
      <c r="Y91" s="440">
        <f t="shared" si="44"/>
        <v>2044</v>
      </c>
      <c r="Z91" s="440">
        <f t="shared" si="44"/>
        <v>2045</v>
      </c>
      <c r="AA91" s="440">
        <f t="shared" si="44"/>
        <v>2046</v>
      </c>
      <c r="AB91" s="440">
        <f t="shared" si="44"/>
        <v>2047</v>
      </c>
      <c r="AC91" s="440">
        <f t="shared" si="44"/>
        <v>2048</v>
      </c>
      <c r="AD91" s="440">
        <f t="shared" si="44"/>
        <v>2049</v>
      </c>
      <c r="AE91" s="440">
        <f t="shared" si="44"/>
        <v>2050</v>
      </c>
      <c r="AF91" s="440">
        <f t="shared" si="44"/>
        <v>2051</v>
      </c>
      <c r="AG91" s="440">
        <f t="shared" si="44"/>
        <v>2052</v>
      </c>
    </row>
    <row r="92" spans="1:56">
      <c r="A92" s="432"/>
      <c r="B92" s="436" t="s">
        <v>353</v>
      </c>
      <c r="C92" s="439">
        <f>SUM(D92:AG92)</f>
        <v>3757257650</v>
      </c>
      <c r="D92" s="435">
        <f>H12+H14+H16+H17+H18+H19+H30+H32+H34+H35+H36+H60+H62+H65+H66+H67</f>
        <v>86349180</v>
      </c>
      <c r="E92" s="435">
        <f t="shared" ref="E92" si="45">I12+I14+I16+I17+I18+I19+I30+I32+I34+I35+I36+I60+I62+I65+I66+I67</f>
        <v>86349180</v>
      </c>
      <c r="F92" s="435">
        <f>J12+J14+J16+J17+J18+J19+J30+J32+J34+J35+J36++J46+J48+J50+J51+J52+J60+J62+J65+J66+J67</f>
        <v>85764380</v>
      </c>
      <c r="G92" s="435">
        <f>K12+K14+K16+K17+K18+K19+K30+K32+K34+K35+K36+K46+K48+K50+K51+K52+K60+K62+K65+K66+K67</f>
        <v>91503580</v>
      </c>
      <c r="H92" s="435">
        <f>L30+L32+L34+L35+L36+L46+L48+L50+L51+L52+L60+L62+L65+L66+L67+L78+L82+L83+L84</f>
        <v>110878830</v>
      </c>
      <c r="I92" s="435">
        <f>M46+M48+M50+M51+M52+M78+M82+M83+M84</f>
        <v>131856500.00000001</v>
      </c>
      <c r="J92" s="435">
        <f t="shared" ref="J92:AG92" si="46">N46+N48+N50+N51+N52+N78+N82+N83+N84</f>
        <v>131856500.00000001</v>
      </c>
      <c r="K92" s="435">
        <f t="shared" si="46"/>
        <v>131856500.00000001</v>
      </c>
      <c r="L92" s="435">
        <f t="shared" si="46"/>
        <v>131856500.00000001</v>
      </c>
      <c r="M92" s="435">
        <f t="shared" si="46"/>
        <v>131856500.00000001</v>
      </c>
      <c r="N92" s="435">
        <f t="shared" si="46"/>
        <v>131856500.00000001</v>
      </c>
      <c r="O92" s="435">
        <f t="shared" si="46"/>
        <v>131856500.00000001</v>
      </c>
      <c r="P92" s="435">
        <f t="shared" si="46"/>
        <v>131856500.00000001</v>
      </c>
      <c r="Q92" s="435">
        <f t="shared" si="46"/>
        <v>131856500.00000001</v>
      </c>
      <c r="R92" s="435">
        <f t="shared" si="46"/>
        <v>131856500.00000001</v>
      </c>
      <c r="S92" s="435">
        <f t="shared" si="46"/>
        <v>131856500.00000001</v>
      </c>
      <c r="T92" s="435">
        <f t="shared" si="46"/>
        <v>131856500.00000001</v>
      </c>
      <c r="U92" s="435">
        <f t="shared" si="46"/>
        <v>131856500.00000001</v>
      </c>
      <c r="V92" s="435">
        <f t="shared" si="46"/>
        <v>131856500.00000001</v>
      </c>
      <c r="W92" s="435">
        <f t="shared" si="46"/>
        <v>131856500.00000001</v>
      </c>
      <c r="X92" s="435">
        <f t="shared" si="46"/>
        <v>131856500.00000001</v>
      </c>
      <c r="Y92" s="435">
        <f t="shared" si="46"/>
        <v>131856500.00000001</v>
      </c>
      <c r="Z92" s="435">
        <f t="shared" si="46"/>
        <v>131856500.00000001</v>
      </c>
      <c r="AA92" s="435">
        <f t="shared" si="46"/>
        <v>131856500.00000001</v>
      </c>
      <c r="AB92" s="435">
        <f t="shared" si="46"/>
        <v>131856500.00000001</v>
      </c>
      <c r="AC92" s="435">
        <f t="shared" si="46"/>
        <v>131856500.00000001</v>
      </c>
      <c r="AD92" s="435">
        <f t="shared" si="46"/>
        <v>131856500.00000001</v>
      </c>
      <c r="AE92" s="435">
        <f t="shared" si="46"/>
        <v>131856500.00000001</v>
      </c>
      <c r="AF92" s="435">
        <f t="shared" si="46"/>
        <v>131856500.00000001</v>
      </c>
      <c r="AG92" s="435">
        <f t="shared" si="46"/>
        <v>131856500.00000001</v>
      </c>
    </row>
    <row r="93" spans="1:56">
      <c r="A93" s="432"/>
      <c r="B93" s="436" t="s">
        <v>351</v>
      </c>
      <c r="C93" s="439">
        <f>SUM(D93:AG93)</f>
        <v>0</v>
      </c>
      <c r="D93" s="435"/>
      <c r="E93" s="435"/>
      <c r="F93" s="435"/>
      <c r="G93" s="435"/>
      <c r="H93" s="435"/>
      <c r="I93" s="435"/>
      <c r="J93" s="435"/>
      <c r="K93" s="435"/>
      <c r="L93" s="435"/>
      <c r="M93" s="435"/>
      <c r="N93" s="435"/>
      <c r="O93" s="435"/>
      <c r="P93" s="435"/>
      <c r="Q93" s="435"/>
      <c r="R93" s="435"/>
      <c r="S93" s="435"/>
      <c r="T93" s="435"/>
      <c r="U93" s="435"/>
      <c r="V93" s="435"/>
      <c r="W93" s="435"/>
      <c r="X93" s="435"/>
      <c r="Y93" s="435"/>
      <c r="Z93" s="435"/>
      <c r="AA93" s="435"/>
      <c r="AB93" s="435"/>
      <c r="AC93" s="435"/>
      <c r="AD93" s="435"/>
      <c r="AE93" s="435"/>
      <c r="AF93" s="435"/>
      <c r="AG93" s="435"/>
    </row>
    <row r="94" spans="1:56">
      <c r="A94" s="432"/>
      <c r="B94" s="438" t="s">
        <v>350</v>
      </c>
      <c r="C94" s="437">
        <f>SUM(D94:AG94)</f>
        <v>3757257650</v>
      </c>
      <c r="D94" s="437">
        <f t="shared" ref="D94:AG94" si="47">SUM(D92:D93)</f>
        <v>86349180</v>
      </c>
      <c r="E94" s="437">
        <f t="shared" si="47"/>
        <v>86349180</v>
      </c>
      <c r="F94" s="437">
        <f t="shared" si="47"/>
        <v>85764380</v>
      </c>
      <c r="G94" s="437">
        <f t="shared" si="47"/>
        <v>91503580</v>
      </c>
      <c r="H94" s="437">
        <f>SUM(H92:H93)</f>
        <v>110878830</v>
      </c>
      <c r="I94" s="437">
        <f t="shared" si="47"/>
        <v>131856500.00000001</v>
      </c>
      <c r="J94" s="437">
        <f t="shared" si="47"/>
        <v>131856500.00000001</v>
      </c>
      <c r="K94" s="437">
        <f t="shared" si="47"/>
        <v>131856500.00000001</v>
      </c>
      <c r="L94" s="437">
        <f t="shared" si="47"/>
        <v>131856500.00000001</v>
      </c>
      <c r="M94" s="437">
        <f t="shared" si="47"/>
        <v>131856500.00000001</v>
      </c>
      <c r="N94" s="437">
        <f t="shared" si="47"/>
        <v>131856500.00000001</v>
      </c>
      <c r="O94" s="437">
        <f t="shared" si="47"/>
        <v>131856500.00000001</v>
      </c>
      <c r="P94" s="437">
        <f t="shared" si="47"/>
        <v>131856500.00000001</v>
      </c>
      <c r="Q94" s="437">
        <f t="shared" si="47"/>
        <v>131856500.00000001</v>
      </c>
      <c r="R94" s="437">
        <f t="shared" si="47"/>
        <v>131856500.00000001</v>
      </c>
      <c r="S94" s="437">
        <f t="shared" si="47"/>
        <v>131856500.00000001</v>
      </c>
      <c r="T94" s="437">
        <f t="shared" si="47"/>
        <v>131856500.00000001</v>
      </c>
      <c r="U94" s="437">
        <f t="shared" si="47"/>
        <v>131856500.00000001</v>
      </c>
      <c r="V94" s="437">
        <f t="shared" si="47"/>
        <v>131856500.00000001</v>
      </c>
      <c r="W94" s="437">
        <f t="shared" si="47"/>
        <v>131856500.00000001</v>
      </c>
      <c r="X94" s="437">
        <f t="shared" si="47"/>
        <v>131856500.00000001</v>
      </c>
      <c r="Y94" s="437">
        <f t="shared" si="47"/>
        <v>131856500.00000001</v>
      </c>
      <c r="Z94" s="437">
        <f t="shared" si="47"/>
        <v>131856500.00000001</v>
      </c>
      <c r="AA94" s="437">
        <f t="shared" si="47"/>
        <v>131856500.00000001</v>
      </c>
      <c r="AB94" s="437">
        <f t="shared" si="47"/>
        <v>131856500.00000001</v>
      </c>
      <c r="AC94" s="437">
        <f t="shared" si="47"/>
        <v>131856500.00000001</v>
      </c>
      <c r="AD94" s="437">
        <f t="shared" si="47"/>
        <v>131856500.00000001</v>
      </c>
      <c r="AE94" s="437">
        <f t="shared" si="47"/>
        <v>131856500.00000001</v>
      </c>
      <c r="AF94" s="437">
        <f t="shared" si="47"/>
        <v>131856500.00000001</v>
      </c>
      <c r="AG94" s="437">
        <f t="shared" si="47"/>
        <v>131856500.00000001</v>
      </c>
    </row>
    <row r="95" spans="1:56">
      <c r="A95" s="432"/>
      <c r="B95" s="436" t="s">
        <v>56</v>
      </c>
      <c r="C95" s="432"/>
      <c r="D95" s="435">
        <f>H21+H38+H54+H69+H85+H86</f>
        <v>5106280</v>
      </c>
      <c r="E95" s="435">
        <f>I21+I38+I69</f>
        <v>5106280</v>
      </c>
      <c r="F95" s="435">
        <f>J21+J38+J54+J69</f>
        <v>5041040</v>
      </c>
      <c r="G95" s="435">
        <f>K21+K38+K54+K69</f>
        <v>5000400</v>
      </c>
      <c r="H95" s="435">
        <f>L38+L54+L69+L85+L86</f>
        <v>5644320.0000000009</v>
      </c>
      <c r="I95" s="435">
        <f>M54+M85+M86</f>
        <v>6126000</v>
      </c>
      <c r="J95" s="435">
        <f t="shared" ref="J95:AG95" si="48">N54+N85+N86</f>
        <v>6126000</v>
      </c>
      <c r="K95" s="435">
        <f t="shared" si="48"/>
        <v>6126000</v>
      </c>
      <c r="L95" s="435">
        <f t="shared" si="48"/>
        <v>6126000</v>
      </c>
      <c r="M95" s="435">
        <f t="shared" si="48"/>
        <v>6126000</v>
      </c>
      <c r="N95" s="435">
        <f t="shared" si="48"/>
        <v>6126000</v>
      </c>
      <c r="O95" s="435">
        <f t="shared" si="48"/>
        <v>6126000</v>
      </c>
      <c r="P95" s="435">
        <f t="shared" si="48"/>
        <v>6126000</v>
      </c>
      <c r="Q95" s="435">
        <f t="shared" si="48"/>
        <v>6126000</v>
      </c>
      <c r="R95" s="435">
        <f t="shared" si="48"/>
        <v>6126000</v>
      </c>
      <c r="S95" s="435">
        <f t="shared" si="48"/>
        <v>6126000</v>
      </c>
      <c r="T95" s="435">
        <f t="shared" si="48"/>
        <v>6126000</v>
      </c>
      <c r="U95" s="435">
        <f t="shared" si="48"/>
        <v>6126000</v>
      </c>
      <c r="V95" s="435">
        <f t="shared" si="48"/>
        <v>6126000</v>
      </c>
      <c r="W95" s="435">
        <f t="shared" si="48"/>
        <v>6126000</v>
      </c>
      <c r="X95" s="435">
        <f t="shared" si="48"/>
        <v>6126000</v>
      </c>
      <c r="Y95" s="435">
        <f t="shared" si="48"/>
        <v>6126000</v>
      </c>
      <c r="Z95" s="435">
        <f t="shared" si="48"/>
        <v>6126000</v>
      </c>
      <c r="AA95" s="435">
        <f t="shared" si="48"/>
        <v>6126000</v>
      </c>
      <c r="AB95" s="435">
        <f t="shared" si="48"/>
        <v>6126000</v>
      </c>
      <c r="AC95" s="435">
        <f t="shared" si="48"/>
        <v>6126000</v>
      </c>
      <c r="AD95" s="435">
        <f t="shared" si="48"/>
        <v>6126000</v>
      </c>
      <c r="AE95" s="435">
        <f t="shared" si="48"/>
        <v>6126000</v>
      </c>
      <c r="AF95" s="435">
        <f t="shared" si="48"/>
        <v>6126000</v>
      </c>
      <c r="AG95" s="435">
        <f t="shared" si="48"/>
        <v>6126000</v>
      </c>
    </row>
    <row r="96" spans="1:56" ht="13.5" thickBot="1">
      <c r="A96" s="432"/>
      <c r="B96" s="434" t="s">
        <v>54</v>
      </c>
      <c r="C96" s="433">
        <f>SUM(D96:AG96)</f>
        <v>179048320</v>
      </c>
      <c r="D96" s="433">
        <f t="shared" ref="D96:AG96" si="49">SUM(D95:D95)</f>
        <v>5106280</v>
      </c>
      <c r="E96" s="433">
        <f t="shared" si="49"/>
        <v>5106280</v>
      </c>
      <c r="F96" s="433">
        <f t="shared" si="49"/>
        <v>5041040</v>
      </c>
      <c r="G96" s="433">
        <f t="shared" si="49"/>
        <v>5000400</v>
      </c>
      <c r="H96" s="433">
        <f t="shared" si="49"/>
        <v>5644320.0000000009</v>
      </c>
      <c r="I96" s="433">
        <f t="shared" si="49"/>
        <v>6126000</v>
      </c>
      <c r="J96" s="433">
        <f t="shared" si="49"/>
        <v>6126000</v>
      </c>
      <c r="K96" s="433">
        <f t="shared" si="49"/>
        <v>6126000</v>
      </c>
      <c r="L96" s="433">
        <f t="shared" si="49"/>
        <v>6126000</v>
      </c>
      <c r="M96" s="433">
        <f t="shared" si="49"/>
        <v>6126000</v>
      </c>
      <c r="N96" s="433">
        <f t="shared" si="49"/>
        <v>6126000</v>
      </c>
      <c r="O96" s="433">
        <f t="shared" si="49"/>
        <v>6126000</v>
      </c>
      <c r="P96" s="433">
        <f t="shared" si="49"/>
        <v>6126000</v>
      </c>
      <c r="Q96" s="433">
        <f t="shared" si="49"/>
        <v>6126000</v>
      </c>
      <c r="R96" s="433">
        <f t="shared" si="49"/>
        <v>6126000</v>
      </c>
      <c r="S96" s="433">
        <f t="shared" si="49"/>
        <v>6126000</v>
      </c>
      <c r="T96" s="433">
        <f t="shared" si="49"/>
        <v>6126000</v>
      </c>
      <c r="U96" s="433">
        <f t="shared" si="49"/>
        <v>6126000</v>
      </c>
      <c r="V96" s="433">
        <f t="shared" si="49"/>
        <v>6126000</v>
      </c>
      <c r="W96" s="433">
        <f t="shared" si="49"/>
        <v>6126000</v>
      </c>
      <c r="X96" s="433">
        <f t="shared" si="49"/>
        <v>6126000</v>
      </c>
      <c r="Y96" s="433">
        <f t="shared" si="49"/>
        <v>6126000</v>
      </c>
      <c r="Z96" s="433">
        <f t="shared" si="49"/>
        <v>6126000</v>
      </c>
      <c r="AA96" s="433">
        <f t="shared" si="49"/>
        <v>6126000</v>
      </c>
      <c r="AB96" s="433">
        <f t="shared" si="49"/>
        <v>6126000</v>
      </c>
      <c r="AC96" s="433">
        <f t="shared" si="49"/>
        <v>6126000</v>
      </c>
      <c r="AD96" s="433">
        <f t="shared" si="49"/>
        <v>6126000</v>
      </c>
      <c r="AE96" s="433">
        <f t="shared" si="49"/>
        <v>6126000</v>
      </c>
      <c r="AF96" s="433">
        <f t="shared" si="49"/>
        <v>6126000</v>
      </c>
      <c r="AG96" s="433">
        <f t="shared" si="49"/>
        <v>6126000</v>
      </c>
    </row>
    <row r="97" spans="1:60" ht="13.5" thickTop="1">
      <c r="A97" s="432"/>
      <c r="B97" s="431" t="s">
        <v>53</v>
      </c>
      <c r="C97" s="430">
        <f>SUM(D97:AG97)</f>
        <v>3936305970</v>
      </c>
      <c r="D97" s="430">
        <f t="shared" ref="D97:AG97" si="50">SUM(D94,D96)</f>
        <v>91455460</v>
      </c>
      <c r="E97" s="430">
        <f t="shared" si="50"/>
        <v>91455460</v>
      </c>
      <c r="F97" s="430">
        <f t="shared" si="50"/>
        <v>90805420</v>
      </c>
      <c r="G97" s="430">
        <f t="shared" si="50"/>
        <v>96503980</v>
      </c>
      <c r="H97" s="430">
        <f t="shared" si="50"/>
        <v>116523150</v>
      </c>
      <c r="I97" s="430">
        <f t="shared" si="50"/>
        <v>137982500</v>
      </c>
      <c r="J97" s="430">
        <f t="shared" si="50"/>
        <v>137982500</v>
      </c>
      <c r="K97" s="430">
        <f t="shared" si="50"/>
        <v>137982500</v>
      </c>
      <c r="L97" s="430">
        <f t="shared" si="50"/>
        <v>137982500</v>
      </c>
      <c r="M97" s="430">
        <f t="shared" si="50"/>
        <v>137982500</v>
      </c>
      <c r="N97" s="430">
        <f t="shared" si="50"/>
        <v>137982500</v>
      </c>
      <c r="O97" s="430">
        <f t="shared" si="50"/>
        <v>137982500</v>
      </c>
      <c r="P97" s="430">
        <f t="shared" si="50"/>
        <v>137982500</v>
      </c>
      <c r="Q97" s="430">
        <f t="shared" si="50"/>
        <v>137982500</v>
      </c>
      <c r="R97" s="430">
        <f t="shared" si="50"/>
        <v>137982500</v>
      </c>
      <c r="S97" s="430">
        <f t="shared" si="50"/>
        <v>137982500</v>
      </c>
      <c r="T97" s="430">
        <f t="shared" si="50"/>
        <v>137982500</v>
      </c>
      <c r="U97" s="430">
        <f t="shared" si="50"/>
        <v>137982500</v>
      </c>
      <c r="V97" s="430">
        <f t="shared" si="50"/>
        <v>137982500</v>
      </c>
      <c r="W97" s="430">
        <f t="shared" si="50"/>
        <v>137982500</v>
      </c>
      <c r="X97" s="430">
        <f t="shared" si="50"/>
        <v>137982500</v>
      </c>
      <c r="Y97" s="430">
        <f t="shared" si="50"/>
        <v>137982500</v>
      </c>
      <c r="Z97" s="430">
        <f t="shared" si="50"/>
        <v>137982500</v>
      </c>
      <c r="AA97" s="430">
        <f t="shared" si="50"/>
        <v>137982500</v>
      </c>
      <c r="AB97" s="430">
        <f t="shared" si="50"/>
        <v>137982500</v>
      </c>
      <c r="AC97" s="430">
        <f t="shared" si="50"/>
        <v>137982500</v>
      </c>
      <c r="AD97" s="430">
        <f t="shared" si="50"/>
        <v>137982500</v>
      </c>
      <c r="AE97" s="430">
        <f t="shared" si="50"/>
        <v>137982500</v>
      </c>
      <c r="AF97" s="430">
        <f t="shared" si="50"/>
        <v>137982500</v>
      </c>
      <c r="AG97" s="430">
        <f t="shared" si="50"/>
        <v>137982500</v>
      </c>
    </row>
    <row r="98" spans="1:60">
      <c r="A98" s="432"/>
      <c r="BC98" s="429"/>
      <c r="BD98" s="429"/>
    </row>
    <row r="100" spans="1:60">
      <c r="D100" s="443"/>
      <c r="E100" s="443"/>
      <c r="F100" s="443"/>
      <c r="G100" s="443"/>
      <c r="H100" s="443"/>
      <c r="I100" s="443"/>
      <c r="L100" s="443"/>
      <c r="BE100" s="429"/>
      <c r="BF100" s="429"/>
      <c r="BG100" s="429"/>
      <c r="BH100" s="429"/>
    </row>
    <row r="101" spans="1:60" s="429" customFormat="1">
      <c r="A101" s="428"/>
      <c r="B101" s="428"/>
      <c r="C101" s="428"/>
      <c r="D101" s="428"/>
      <c r="E101" s="428"/>
      <c r="F101" s="428"/>
      <c r="G101" s="428"/>
      <c r="H101" s="428"/>
      <c r="I101" s="428"/>
      <c r="J101" s="428"/>
      <c r="K101" s="428"/>
      <c r="L101" s="428"/>
      <c r="M101" s="428"/>
      <c r="N101" s="428"/>
      <c r="O101" s="428"/>
      <c r="P101" s="428"/>
      <c r="Q101" s="428"/>
      <c r="R101" s="428"/>
      <c r="S101" s="428"/>
      <c r="T101" s="428"/>
      <c r="U101" s="428"/>
      <c r="V101" s="428"/>
      <c r="W101" s="428"/>
      <c r="X101" s="428"/>
      <c r="Y101" s="428"/>
      <c r="Z101" s="428"/>
      <c r="AA101" s="428"/>
      <c r="AB101" s="428"/>
      <c r="AC101" s="428"/>
      <c r="AD101" s="428"/>
      <c r="AE101" s="428"/>
      <c r="AF101" s="428"/>
      <c r="AG101" s="428"/>
      <c r="AH101" s="428"/>
      <c r="AI101" s="428"/>
      <c r="AJ101" s="428"/>
      <c r="AK101" s="428"/>
      <c r="AL101" s="428"/>
      <c r="AM101" s="428"/>
      <c r="AN101" s="428"/>
      <c r="AO101" s="428"/>
      <c r="AP101" s="428"/>
      <c r="AQ101" s="428"/>
      <c r="AR101" s="428"/>
      <c r="AS101" s="428"/>
      <c r="AT101" s="428"/>
      <c r="AU101" s="428"/>
      <c r="AV101" s="428"/>
      <c r="AW101" s="428"/>
      <c r="AX101" s="428"/>
      <c r="AY101" s="428"/>
      <c r="AZ101" s="428"/>
      <c r="BA101" s="428"/>
      <c r="BB101" s="428"/>
      <c r="BC101" s="428"/>
      <c r="BD101" s="428"/>
      <c r="BE101" s="428"/>
      <c r="BF101" s="428"/>
      <c r="BG101" s="428"/>
      <c r="BH101" s="428"/>
    </row>
    <row r="119" spans="1:77" s="429" customFormat="1">
      <c r="A119" s="428"/>
      <c r="B119" s="428"/>
      <c r="C119" s="428"/>
      <c r="D119" s="428"/>
      <c r="E119" s="428"/>
      <c r="F119" s="428"/>
      <c r="G119" s="428"/>
      <c r="H119" s="428"/>
      <c r="I119" s="428"/>
      <c r="J119" s="428"/>
      <c r="K119" s="428"/>
      <c r="L119" s="428"/>
      <c r="M119" s="428"/>
      <c r="N119" s="428"/>
      <c r="O119" s="428"/>
      <c r="P119" s="428"/>
      <c r="Q119" s="428"/>
      <c r="R119" s="428"/>
      <c r="S119" s="428"/>
      <c r="T119" s="428"/>
      <c r="U119" s="428"/>
      <c r="V119" s="428"/>
      <c r="W119" s="428"/>
      <c r="X119" s="428"/>
      <c r="Y119" s="428"/>
      <c r="Z119" s="428"/>
      <c r="AA119" s="428"/>
      <c r="AB119" s="428"/>
      <c r="AC119" s="428"/>
      <c r="AD119" s="428"/>
      <c r="AE119" s="428"/>
      <c r="AF119" s="428"/>
      <c r="AG119" s="428"/>
      <c r="AH119" s="428"/>
      <c r="AI119" s="428"/>
      <c r="AJ119" s="428"/>
      <c r="AK119" s="428"/>
      <c r="AL119" s="428"/>
      <c r="AM119" s="428"/>
      <c r="AN119" s="428"/>
      <c r="AO119" s="428"/>
      <c r="AP119" s="428"/>
      <c r="AQ119" s="428"/>
      <c r="AR119" s="428"/>
      <c r="AS119" s="428"/>
      <c r="AT119" s="428"/>
      <c r="AU119" s="428"/>
      <c r="AV119" s="428"/>
      <c r="AW119" s="428"/>
      <c r="AX119" s="428"/>
      <c r="AY119" s="428"/>
      <c r="AZ119" s="428"/>
      <c r="BA119" s="428"/>
      <c r="BB119" s="428"/>
      <c r="BC119" s="428"/>
      <c r="BD119" s="428"/>
      <c r="BE119" s="428"/>
      <c r="BF119" s="428"/>
      <c r="BG119" s="428"/>
      <c r="BH119" s="428"/>
      <c r="BI119" s="428"/>
      <c r="BJ119" s="428"/>
      <c r="BK119" s="428"/>
      <c r="BL119" s="428"/>
      <c r="BM119" s="428"/>
      <c r="BN119" s="428"/>
      <c r="BO119" s="428"/>
      <c r="BP119" s="428"/>
      <c r="BQ119" s="428"/>
      <c r="BR119" s="428"/>
      <c r="BS119" s="428"/>
      <c r="BT119" s="428"/>
      <c r="BU119" s="428"/>
      <c r="BV119" s="428"/>
      <c r="BW119" s="428"/>
      <c r="BX119" s="428"/>
      <c r="BY119" s="428"/>
    </row>
    <row r="122" spans="1:77">
      <c r="AP122" s="429"/>
      <c r="AQ122" s="429"/>
      <c r="AR122" s="429"/>
      <c r="AS122" s="429"/>
      <c r="AT122" s="429"/>
      <c r="AU122" s="429"/>
      <c r="AV122" s="429"/>
      <c r="AW122" s="429"/>
      <c r="AX122" s="429"/>
      <c r="AY122" s="429"/>
      <c r="AZ122" s="429"/>
      <c r="BA122" s="429"/>
      <c r="BB122" s="429"/>
    </row>
    <row r="126" spans="1:77" s="429" customFormat="1">
      <c r="A126" s="428"/>
      <c r="B126" s="428"/>
      <c r="C126" s="428"/>
      <c r="D126" s="428"/>
      <c r="E126" s="428"/>
      <c r="F126" s="428"/>
      <c r="G126" s="428"/>
      <c r="H126" s="428"/>
      <c r="I126" s="428"/>
      <c r="J126" s="428"/>
      <c r="K126" s="428"/>
      <c r="L126" s="428"/>
      <c r="M126" s="428"/>
      <c r="N126" s="428"/>
      <c r="O126" s="428"/>
      <c r="P126" s="428"/>
      <c r="Q126" s="428"/>
      <c r="R126" s="428"/>
      <c r="S126" s="428"/>
      <c r="T126" s="428"/>
      <c r="U126" s="428"/>
      <c r="V126" s="428"/>
      <c r="W126" s="428"/>
      <c r="X126" s="428"/>
      <c r="Y126" s="428"/>
      <c r="Z126" s="428"/>
      <c r="AA126" s="428"/>
      <c r="AB126" s="428"/>
      <c r="AC126" s="428"/>
      <c r="AD126" s="428"/>
      <c r="AE126" s="428"/>
      <c r="AF126" s="428"/>
      <c r="AG126" s="428"/>
      <c r="AH126" s="428"/>
      <c r="AI126" s="428"/>
      <c r="AJ126" s="428"/>
      <c r="AK126" s="428"/>
      <c r="AL126" s="428"/>
      <c r="AM126" s="428"/>
      <c r="AN126" s="428"/>
      <c r="AO126" s="428"/>
      <c r="AP126" s="428"/>
      <c r="AQ126" s="428"/>
      <c r="AR126" s="428"/>
      <c r="AS126" s="428"/>
      <c r="AT126" s="428"/>
      <c r="AU126" s="428"/>
      <c r="AV126" s="428"/>
      <c r="AW126" s="428"/>
      <c r="AX126" s="428"/>
      <c r="AY126" s="428"/>
      <c r="AZ126" s="428"/>
      <c r="BA126" s="428"/>
      <c r="BB126" s="428"/>
      <c r="BC126" s="428"/>
      <c r="BD126" s="428"/>
      <c r="BE126" s="428"/>
      <c r="BF126" s="428"/>
      <c r="BG126" s="428"/>
      <c r="BH126" s="428"/>
      <c r="BI126" s="428"/>
      <c r="BJ126" s="428"/>
      <c r="BK126" s="428"/>
      <c r="BL126" s="428"/>
      <c r="BM126" s="428"/>
      <c r="BN126" s="428"/>
      <c r="BO126" s="428"/>
      <c r="BP126" s="428"/>
      <c r="BQ126" s="428"/>
      <c r="BR126" s="428"/>
      <c r="BS126" s="428"/>
      <c r="BT126" s="428"/>
      <c r="BU126" s="428"/>
      <c r="BV126" s="428"/>
      <c r="BW126" s="428"/>
      <c r="BX126" s="428"/>
      <c r="BY126" s="428"/>
    </row>
    <row r="139" spans="1:61">
      <c r="BC139" s="429"/>
      <c r="BD139" s="429"/>
    </row>
    <row r="141" spans="1:61">
      <c r="BE141" s="429"/>
      <c r="BF141" s="429"/>
      <c r="BG141" s="429"/>
      <c r="BH141" s="429"/>
      <c r="BI141" s="429"/>
    </row>
    <row r="142" spans="1:61" s="429" customFormat="1">
      <c r="A142" s="428"/>
      <c r="B142" s="428"/>
      <c r="C142" s="428"/>
      <c r="D142" s="428"/>
      <c r="E142" s="428"/>
      <c r="F142" s="428"/>
      <c r="G142" s="428"/>
      <c r="H142" s="428"/>
      <c r="I142" s="428"/>
      <c r="J142" s="428"/>
      <c r="K142" s="428"/>
      <c r="L142" s="428"/>
      <c r="M142" s="428"/>
      <c r="N142" s="428"/>
      <c r="O142" s="428"/>
      <c r="P142" s="428"/>
      <c r="Q142" s="428"/>
      <c r="R142" s="428"/>
      <c r="S142" s="428"/>
      <c r="T142" s="428"/>
      <c r="U142" s="428"/>
      <c r="V142" s="428"/>
      <c r="W142" s="428"/>
      <c r="X142" s="428"/>
      <c r="Y142" s="428"/>
      <c r="Z142" s="428"/>
      <c r="AA142" s="428"/>
      <c r="AB142" s="428"/>
      <c r="AC142" s="428"/>
      <c r="AD142" s="428"/>
      <c r="AE142" s="428"/>
      <c r="AF142" s="428"/>
      <c r="AG142" s="428"/>
      <c r="AH142" s="428"/>
      <c r="AI142" s="428"/>
      <c r="AJ142" s="428"/>
      <c r="AK142" s="428"/>
      <c r="AL142" s="428"/>
      <c r="AM142" s="428"/>
      <c r="AN142" s="428"/>
      <c r="AO142" s="428"/>
      <c r="AP142" s="428"/>
      <c r="AQ142" s="428"/>
      <c r="AR142" s="428"/>
      <c r="AS142" s="428"/>
      <c r="AT142" s="428"/>
      <c r="AU142" s="428"/>
      <c r="AV142" s="428"/>
      <c r="AW142" s="428"/>
      <c r="AX142" s="428"/>
      <c r="AY142" s="428"/>
      <c r="AZ142" s="428"/>
      <c r="BA142" s="428"/>
      <c r="BB142" s="428"/>
      <c r="BC142" s="428"/>
      <c r="BD142" s="428"/>
      <c r="BE142" s="428"/>
      <c r="BF142" s="428"/>
      <c r="BG142" s="428"/>
      <c r="BH142" s="428"/>
      <c r="BI142" s="428"/>
    </row>
  </sheetData>
  <sheetProtection algorithmName="SHA-512" hashValue="Wi+Jpo9HbBSiQt4Hy15CLgfaR7g/ULUwOSDmp1/+UnfcxnxMxGiYWVuNGZynRToeFNczYsjJWS5bVtu7aWFvAg==" saltValue="E0J4MKEqPO2Kq8/p2WYnrA==" spinCount="100000" sheet="1" objects="1" scenarios="1"/>
  <mergeCells count="29">
    <mergeCell ref="G28:G38"/>
    <mergeCell ref="B1:AK1"/>
    <mergeCell ref="B2:G4"/>
    <mergeCell ref="B5:G5"/>
    <mergeCell ref="B6:G6"/>
    <mergeCell ref="B9:B10"/>
    <mergeCell ref="D9:D11"/>
    <mergeCell ref="E9:E11"/>
    <mergeCell ref="F9:F11"/>
    <mergeCell ref="G12:G22"/>
    <mergeCell ref="B25:B26"/>
    <mergeCell ref="D25:D27"/>
    <mergeCell ref="E25:E27"/>
    <mergeCell ref="F25:F27"/>
    <mergeCell ref="G76:G86"/>
    <mergeCell ref="B41:B42"/>
    <mergeCell ref="D41:D43"/>
    <mergeCell ref="E41:E43"/>
    <mergeCell ref="F41:F43"/>
    <mergeCell ref="G44:G54"/>
    <mergeCell ref="B57:B58"/>
    <mergeCell ref="D57:D59"/>
    <mergeCell ref="E57:E59"/>
    <mergeCell ref="F57:F59"/>
    <mergeCell ref="G60:G70"/>
    <mergeCell ref="B73:B74"/>
    <mergeCell ref="D73:D75"/>
    <mergeCell ref="E73:E75"/>
    <mergeCell ref="F73:F75"/>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B2:AG23"/>
  <sheetViews>
    <sheetView zoomScale="80" zoomScaleNormal="80" workbookViewId="0">
      <selection activeCell="D13" sqref="D13:AG13"/>
    </sheetView>
  </sheetViews>
  <sheetFormatPr defaultColWidth="9.140625" defaultRowHeight="11.25"/>
  <cols>
    <col min="1" max="1" width="2.7109375" style="2" customWidth="1"/>
    <col min="2" max="2" width="30.7109375" style="2" customWidth="1"/>
    <col min="3" max="3" width="14.140625" style="2" customWidth="1"/>
    <col min="4" max="33" width="13.85546875" style="2" customWidth="1"/>
    <col min="34" max="16384" width="9.140625" style="2"/>
  </cols>
  <sheetData>
    <row r="2" spans="2:33">
      <c r="B2" s="3"/>
      <c r="C2" s="3"/>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t="s">
        <v>252</v>
      </c>
      <c r="C3" s="4"/>
      <c r="D3" s="5">
        <v>1</v>
      </c>
      <c r="E3" s="5">
        <v>2</v>
      </c>
      <c r="F3" s="5">
        <v>3</v>
      </c>
      <c r="G3" s="5">
        <v>4</v>
      </c>
      <c r="H3" s="5">
        <v>5</v>
      </c>
      <c r="I3" s="5">
        <v>6</v>
      </c>
      <c r="J3" s="5">
        <v>7</v>
      </c>
      <c r="K3" s="5">
        <v>8</v>
      </c>
      <c r="L3" s="5">
        <v>9</v>
      </c>
      <c r="M3" s="5">
        <v>10</v>
      </c>
      <c r="N3" s="5">
        <v>11</v>
      </c>
      <c r="O3" s="5">
        <v>12</v>
      </c>
      <c r="P3" s="5">
        <v>13</v>
      </c>
      <c r="Q3" s="5">
        <v>14</v>
      </c>
      <c r="R3" s="5">
        <v>15</v>
      </c>
      <c r="S3" s="5">
        <v>16</v>
      </c>
      <c r="T3" s="5">
        <v>17</v>
      </c>
      <c r="U3" s="5">
        <v>18</v>
      </c>
      <c r="V3" s="5">
        <v>19</v>
      </c>
      <c r="W3" s="5">
        <v>20</v>
      </c>
      <c r="X3" s="5">
        <v>21</v>
      </c>
      <c r="Y3" s="5">
        <v>22</v>
      </c>
      <c r="Z3" s="5">
        <v>23</v>
      </c>
      <c r="AA3" s="5">
        <v>24</v>
      </c>
      <c r="AB3" s="5">
        <v>25</v>
      </c>
      <c r="AC3" s="5">
        <v>26</v>
      </c>
      <c r="AD3" s="5">
        <v>27</v>
      </c>
      <c r="AE3" s="5">
        <v>28</v>
      </c>
      <c r="AF3" s="5">
        <v>29</v>
      </c>
      <c r="AG3" s="5">
        <v>30</v>
      </c>
    </row>
    <row r="4" spans="2:33">
      <c r="B4" s="6" t="s">
        <v>32</v>
      </c>
      <c r="C4" s="6" t="s">
        <v>9</v>
      </c>
      <c r="D4" s="7">
        <f>Parametre!C13</f>
        <v>2023</v>
      </c>
      <c r="E4" s="7">
        <f>$D$4+D3</f>
        <v>2024</v>
      </c>
      <c r="F4" s="7">
        <f>$D$4+E3</f>
        <v>2025</v>
      </c>
      <c r="G4" s="7">
        <f t="shared" ref="G4:AF4" si="0">$D$4+F3</f>
        <v>2026</v>
      </c>
      <c r="H4" s="7">
        <f t="shared" si="0"/>
        <v>2027</v>
      </c>
      <c r="I4" s="7">
        <f t="shared" si="0"/>
        <v>2028</v>
      </c>
      <c r="J4" s="7">
        <f t="shared" si="0"/>
        <v>2029</v>
      </c>
      <c r="K4" s="7">
        <f t="shared" si="0"/>
        <v>2030</v>
      </c>
      <c r="L4" s="7">
        <f t="shared" si="0"/>
        <v>2031</v>
      </c>
      <c r="M4" s="7">
        <f t="shared" si="0"/>
        <v>2032</v>
      </c>
      <c r="N4" s="7">
        <f t="shared" si="0"/>
        <v>2033</v>
      </c>
      <c r="O4" s="7">
        <f t="shared" si="0"/>
        <v>2034</v>
      </c>
      <c r="P4" s="7">
        <f t="shared" si="0"/>
        <v>2035</v>
      </c>
      <c r="Q4" s="7">
        <f t="shared" si="0"/>
        <v>2036</v>
      </c>
      <c r="R4" s="7">
        <f t="shared" si="0"/>
        <v>2037</v>
      </c>
      <c r="S4" s="7">
        <f t="shared" si="0"/>
        <v>2038</v>
      </c>
      <c r="T4" s="7">
        <f t="shared" si="0"/>
        <v>2039</v>
      </c>
      <c r="U4" s="7">
        <f t="shared" si="0"/>
        <v>2040</v>
      </c>
      <c r="V4" s="7">
        <f t="shared" si="0"/>
        <v>2041</v>
      </c>
      <c r="W4" s="7">
        <f t="shared" si="0"/>
        <v>2042</v>
      </c>
      <c r="X4" s="7">
        <f t="shared" si="0"/>
        <v>2043</v>
      </c>
      <c r="Y4" s="7">
        <f t="shared" si="0"/>
        <v>2044</v>
      </c>
      <c r="Z4" s="7">
        <f t="shared" si="0"/>
        <v>2045</v>
      </c>
      <c r="AA4" s="7">
        <f t="shared" si="0"/>
        <v>2046</v>
      </c>
      <c r="AB4" s="7">
        <f t="shared" si="0"/>
        <v>2047</v>
      </c>
      <c r="AC4" s="7">
        <f t="shared" si="0"/>
        <v>2048</v>
      </c>
      <c r="AD4" s="7">
        <f t="shared" si="0"/>
        <v>2049</v>
      </c>
      <c r="AE4" s="7">
        <f t="shared" si="0"/>
        <v>2050</v>
      </c>
      <c r="AF4" s="7">
        <f t="shared" si="0"/>
        <v>2051</v>
      </c>
      <c r="AG4" s="7">
        <f t="shared" ref="AG4" si="1">$D$4+AF3</f>
        <v>2052</v>
      </c>
    </row>
    <row r="5" spans="2:33">
      <c r="B5" s="3" t="s">
        <v>354</v>
      </c>
      <c r="C5" s="180">
        <f>SUM(D5:AG5)</f>
        <v>1034769999.4940659</v>
      </c>
      <c r="D5" s="182">
        <v>13988620.180313874</v>
      </c>
      <c r="E5" s="182">
        <v>15146530.486155014</v>
      </c>
      <c r="F5" s="182">
        <v>16545392.504186399</v>
      </c>
      <c r="G5" s="182">
        <v>16786344.216376647</v>
      </c>
      <c r="H5" s="182">
        <v>27193877.630530171</v>
      </c>
      <c r="I5" s="182">
        <v>27193877.630530171</v>
      </c>
      <c r="J5" s="182">
        <v>28553571.512056682</v>
      </c>
      <c r="K5" s="182">
        <v>29981250.087659519</v>
      </c>
      <c r="L5" s="182">
        <v>31480312.592042498</v>
      </c>
      <c r="M5" s="182">
        <v>32109918.84388335</v>
      </c>
      <c r="N5" s="182">
        <v>32752117.220761016</v>
      </c>
      <c r="O5" s="182">
        <v>33407159.565176237</v>
      </c>
      <c r="P5" s="182">
        <v>34075302.756479762</v>
      </c>
      <c r="Q5" s="182">
        <v>34756808.811609358</v>
      </c>
      <c r="R5" s="182">
        <v>35451944.987841547</v>
      </c>
      <c r="S5" s="182">
        <v>36160983.887598373</v>
      </c>
      <c r="T5" s="182">
        <v>36884203.565350339</v>
      </c>
      <c r="U5" s="182">
        <v>37621887.63665735</v>
      </c>
      <c r="V5" s="182">
        <v>38374325.389390498</v>
      </c>
      <c r="W5" s="182">
        <v>39141811.897178307</v>
      </c>
      <c r="X5" s="182">
        <v>39924648.135121875</v>
      </c>
      <c r="Y5" s="182">
        <v>40723141.097824313</v>
      </c>
      <c r="Z5" s="182">
        <v>41537603.919780806</v>
      </c>
      <c r="AA5" s="182">
        <v>42368355.998176418</v>
      </c>
      <c r="AB5" s="182">
        <v>43215723.118139945</v>
      </c>
      <c r="AC5" s="182">
        <v>44080037.580502741</v>
      </c>
      <c r="AD5" s="182">
        <v>44961638.332112804</v>
      </c>
      <c r="AE5" s="182">
        <v>45860871.098755054</v>
      </c>
      <c r="AF5" s="182">
        <v>46778088.52073016</v>
      </c>
      <c r="AG5" s="182">
        <v>47713650.291144766</v>
      </c>
    </row>
    <row r="6" spans="2:33">
      <c r="B6" s="3" t="s">
        <v>55</v>
      </c>
      <c r="C6" s="180">
        <f>SUM(D6:AG6)</f>
        <v>0</v>
      </c>
      <c r="D6" s="182">
        <v>0</v>
      </c>
      <c r="E6" s="182">
        <v>0</v>
      </c>
      <c r="F6" s="182">
        <v>0</v>
      </c>
      <c r="G6" s="182">
        <v>0</v>
      </c>
      <c r="H6" s="182">
        <v>0</v>
      </c>
      <c r="I6" s="182">
        <v>0</v>
      </c>
      <c r="J6" s="182">
        <v>0</v>
      </c>
      <c r="K6" s="182">
        <v>0</v>
      </c>
      <c r="L6" s="182">
        <v>0</v>
      </c>
      <c r="M6" s="182">
        <v>0</v>
      </c>
      <c r="N6" s="182">
        <v>0</v>
      </c>
      <c r="O6" s="182">
        <v>0</v>
      </c>
      <c r="P6" s="182">
        <v>0</v>
      </c>
      <c r="Q6" s="182">
        <v>0</v>
      </c>
      <c r="R6" s="182">
        <v>0</v>
      </c>
      <c r="S6" s="182">
        <v>0</v>
      </c>
      <c r="T6" s="182">
        <v>0</v>
      </c>
      <c r="U6" s="182">
        <v>0</v>
      </c>
      <c r="V6" s="182">
        <v>0</v>
      </c>
      <c r="W6" s="182">
        <v>0</v>
      </c>
      <c r="X6" s="182">
        <v>0</v>
      </c>
      <c r="Y6" s="182">
        <v>0</v>
      </c>
      <c r="Z6" s="182">
        <v>0</v>
      </c>
      <c r="AA6" s="182">
        <v>0</v>
      </c>
      <c r="AB6" s="182">
        <v>0</v>
      </c>
      <c r="AC6" s="182">
        <v>0</v>
      </c>
      <c r="AD6" s="182">
        <v>0</v>
      </c>
      <c r="AE6" s="182">
        <v>0</v>
      </c>
      <c r="AF6" s="182">
        <v>0</v>
      </c>
      <c r="AG6" s="182">
        <v>0</v>
      </c>
    </row>
    <row r="7" spans="2:33">
      <c r="B7" s="4" t="s">
        <v>11</v>
      </c>
      <c r="C7" s="184">
        <f>SUM(D7:AG7)</f>
        <v>1034769999.4940659</v>
      </c>
      <c r="D7" s="184">
        <f>SUM(D5:D6)</f>
        <v>13988620.180313874</v>
      </c>
      <c r="E7" s="184">
        <f t="shared" ref="E7:AG7" si="2">SUM(E5:E6)</f>
        <v>15146530.486155014</v>
      </c>
      <c r="F7" s="184">
        <f t="shared" si="2"/>
        <v>16545392.504186399</v>
      </c>
      <c r="G7" s="184">
        <f t="shared" si="2"/>
        <v>16786344.216376647</v>
      </c>
      <c r="H7" s="184">
        <f t="shared" si="2"/>
        <v>27193877.630530171</v>
      </c>
      <c r="I7" s="184">
        <f t="shared" si="2"/>
        <v>27193877.630530171</v>
      </c>
      <c r="J7" s="184">
        <f t="shared" si="2"/>
        <v>28553571.512056682</v>
      </c>
      <c r="K7" s="184">
        <f t="shared" si="2"/>
        <v>29981250.087659519</v>
      </c>
      <c r="L7" s="184">
        <f t="shared" si="2"/>
        <v>31480312.592042498</v>
      </c>
      <c r="M7" s="184">
        <f t="shared" si="2"/>
        <v>32109918.84388335</v>
      </c>
      <c r="N7" s="184">
        <f t="shared" si="2"/>
        <v>32752117.220761016</v>
      </c>
      <c r="O7" s="184">
        <f t="shared" si="2"/>
        <v>33407159.565176237</v>
      </c>
      <c r="P7" s="184">
        <f t="shared" si="2"/>
        <v>34075302.756479762</v>
      </c>
      <c r="Q7" s="184">
        <f t="shared" si="2"/>
        <v>34756808.811609358</v>
      </c>
      <c r="R7" s="184">
        <f t="shared" si="2"/>
        <v>35451944.987841547</v>
      </c>
      <c r="S7" s="184">
        <f t="shared" si="2"/>
        <v>36160983.887598373</v>
      </c>
      <c r="T7" s="184">
        <f t="shared" si="2"/>
        <v>36884203.565350339</v>
      </c>
      <c r="U7" s="184">
        <f t="shared" si="2"/>
        <v>37621887.63665735</v>
      </c>
      <c r="V7" s="184">
        <f t="shared" si="2"/>
        <v>38374325.389390498</v>
      </c>
      <c r="W7" s="184">
        <f t="shared" si="2"/>
        <v>39141811.897178307</v>
      </c>
      <c r="X7" s="184">
        <f t="shared" si="2"/>
        <v>39924648.135121875</v>
      </c>
      <c r="Y7" s="184">
        <f t="shared" si="2"/>
        <v>40723141.097824313</v>
      </c>
      <c r="Z7" s="184">
        <f t="shared" si="2"/>
        <v>41537603.919780806</v>
      </c>
      <c r="AA7" s="184">
        <f t="shared" si="2"/>
        <v>42368355.998176418</v>
      </c>
      <c r="AB7" s="184">
        <f t="shared" si="2"/>
        <v>43215723.118139945</v>
      </c>
      <c r="AC7" s="184">
        <f t="shared" si="2"/>
        <v>44080037.580502741</v>
      </c>
      <c r="AD7" s="184">
        <f t="shared" si="2"/>
        <v>44961638.332112804</v>
      </c>
      <c r="AE7" s="184">
        <f t="shared" si="2"/>
        <v>45860871.098755054</v>
      </c>
      <c r="AF7" s="184">
        <f t="shared" si="2"/>
        <v>46778088.52073016</v>
      </c>
      <c r="AG7" s="184">
        <f t="shared" si="2"/>
        <v>47713650.291144766</v>
      </c>
    </row>
    <row r="10" spans="2:33">
      <c r="B10" s="3"/>
      <c r="C10" s="3"/>
      <c r="D10" s="3" t="s">
        <v>10</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2:33">
      <c r="B11" s="4" t="s">
        <v>253</v>
      </c>
      <c r="C11" s="4"/>
      <c r="D11" s="3">
        <v>1</v>
      </c>
      <c r="E11" s="3">
        <v>2</v>
      </c>
      <c r="F11" s="3">
        <v>3</v>
      </c>
      <c r="G11" s="3">
        <v>4</v>
      </c>
      <c r="H11" s="3">
        <v>5</v>
      </c>
      <c r="I11" s="3">
        <v>6</v>
      </c>
      <c r="J11" s="3">
        <v>7</v>
      </c>
      <c r="K11" s="3">
        <v>8</v>
      </c>
      <c r="L11" s="3">
        <v>9</v>
      </c>
      <c r="M11" s="3">
        <v>10</v>
      </c>
      <c r="N11" s="3">
        <v>11</v>
      </c>
      <c r="O11" s="3">
        <v>12</v>
      </c>
      <c r="P11" s="3">
        <v>13</v>
      </c>
      <c r="Q11" s="3">
        <v>14</v>
      </c>
      <c r="R11" s="3">
        <v>15</v>
      </c>
      <c r="S11" s="3">
        <v>16</v>
      </c>
      <c r="T11" s="3">
        <v>17</v>
      </c>
      <c r="U11" s="3">
        <v>18</v>
      </c>
      <c r="V11" s="3">
        <v>19</v>
      </c>
      <c r="W11" s="3">
        <v>20</v>
      </c>
      <c r="X11" s="3">
        <v>21</v>
      </c>
      <c r="Y11" s="3">
        <v>22</v>
      </c>
      <c r="Z11" s="3">
        <v>23</v>
      </c>
      <c r="AA11" s="3">
        <v>24</v>
      </c>
      <c r="AB11" s="3">
        <v>25</v>
      </c>
      <c r="AC11" s="3">
        <v>26</v>
      </c>
      <c r="AD11" s="3">
        <v>27</v>
      </c>
      <c r="AE11" s="3">
        <v>28</v>
      </c>
      <c r="AF11" s="3">
        <v>29</v>
      </c>
      <c r="AG11" s="3">
        <v>30</v>
      </c>
    </row>
    <row r="12" spans="2:33">
      <c r="B12" s="6" t="s">
        <v>33</v>
      </c>
      <c r="C12" s="6" t="s">
        <v>9</v>
      </c>
      <c r="D12" s="17">
        <f>D4</f>
        <v>2023</v>
      </c>
      <c r="E12" s="17">
        <f>E4</f>
        <v>2024</v>
      </c>
      <c r="F12" s="17">
        <f>F4</f>
        <v>2025</v>
      </c>
      <c r="G12" s="17">
        <f t="shared" ref="G12:AF12" si="3">G4</f>
        <v>2026</v>
      </c>
      <c r="H12" s="17">
        <f t="shared" si="3"/>
        <v>2027</v>
      </c>
      <c r="I12" s="17">
        <f t="shared" si="3"/>
        <v>2028</v>
      </c>
      <c r="J12" s="17">
        <f t="shared" si="3"/>
        <v>2029</v>
      </c>
      <c r="K12" s="17">
        <f t="shared" si="3"/>
        <v>2030</v>
      </c>
      <c r="L12" s="17">
        <f t="shared" si="3"/>
        <v>2031</v>
      </c>
      <c r="M12" s="17">
        <f t="shared" si="3"/>
        <v>2032</v>
      </c>
      <c r="N12" s="17">
        <f t="shared" si="3"/>
        <v>2033</v>
      </c>
      <c r="O12" s="17">
        <f t="shared" si="3"/>
        <v>2034</v>
      </c>
      <c r="P12" s="17">
        <f t="shared" si="3"/>
        <v>2035</v>
      </c>
      <c r="Q12" s="17">
        <f t="shared" si="3"/>
        <v>2036</v>
      </c>
      <c r="R12" s="17">
        <f t="shared" si="3"/>
        <v>2037</v>
      </c>
      <c r="S12" s="17">
        <f t="shared" si="3"/>
        <v>2038</v>
      </c>
      <c r="T12" s="17">
        <f t="shared" si="3"/>
        <v>2039</v>
      </c>
      <c r="U12" s="17">
        <f t="shared" si="3"/>
        <v>2040</v>
      </c>
      <c r="V12" s="17">
        <f t="shared" si="3"/>
        <v>2041</v>
      </c>
      <c r="W12" s="17">
        <f t="shared" si="3"/>
        <v>2042</v>
      </c>
      <c r="X12" s="17">
        <f t="shared" si="3"/>
        <v>2043</v>
      </c>
      <c r="Y12" s="17">
        <f t="shared" si="3"/>
        <v>2044</v>
      </c>
      <c r="Z12" s="17">
        <f t="shared" si="3"/>
        <v>2045</v>
      </c>
      <c r="AA12" s="17">
        <f t="shared" si="3"/>
        <v>2046</v>
      </c>
      <c r="AB12" s="17">
        <f t="shared" si="3"/>
        <v>2047</v>
      </c>
      <c r="AC12" s="17">
        <f t="shared" si="3"/>
        <v>2048</v>
      </c>
      <c r="AD12" s="17">
        <f t="shared" si="3"/>
        <v>2049</v>
      </c>
      <c r="AE12" s="17">
        <f t="shared" si="3"/>
        <v>2050</v>
      </c>
      <c r="AF12" s="17">
        <f t="shared" si="3"/>
        <v>2051</v>
      </c>
      <c r="AG12" s="17">
        <f t="shared" ref="AG12" si="4">AG4</f>
        <v>2052</v>
      </c>
    </row>
    <row r="13" spans="2:33">
      <c r="B13" s="3" t="s">
        <v>354</v>
      </c>
      <c r="C13" s="180">
        <f>SUM(D13:AG13)</f>
        <v>1620216724.5130885</v>
      </c>
      <c r="D13" s="182">
        <v>13988620.180313874</v>
      </c>
      <c r="E13" s="182">
        <v>15146530.486155014</v>
      </c>
      <c r="F13" s="182">
        <v>16545392.504186399</v>
      </c>
      <c r="G13" s="182">
        <v>16786344.216376647</v>
      </c>
      <c r="H13" s="182">
        <v>33292076.71201067</v>
      </c>
      <c r="I13" s="182">
        <v>43863625.787736677</v>
      </c>
      <c r="J13" s="182">
        <v>46056807.077123508</v>
      </c>
      <c r="K13" s="182">
        <v>48359647.430979684</v>
      </c>
      <c r="L13" s="182">
        <v>50777629.802528672</v>
      </c>
      <c r="M13" s="182">
        <v>51793182.398579247</v>
      </c>
      <c r="N13" s="182">
        <v>52829046.046550833</v>
      </c>
      <c r="O13" s="182">
        <v>53885626.967481852</v>
      </c>
      <c r="P13" s="182">
        <v>54963339.506831497</v>
      </c>
      <c r="Q13" s="182">
        <v>56062606.296968132</v>
      </c>
      <c r="R13" s="182">
        <v>57183858.422907494</v>
      </c>
      <c r="S13" s="182">
        <v>58327535.591365643</v>
      </c>
      <c r="T13" s="182">
        <v>59494086.303192958</v>
      </c>
      <c r="U13" s="182">
        <v>60683968.029256821</v>
      </c>
      <c r="V13" s="182">
        <v>61897647.389841959</v>
      </c>
      <c r="W13" s="182">
        <v>63135600.337638795</v>
      </c>
      <c r="X13" s="182">
        <v>64398312.344391577</v>
      </c>
      <c r="Y13" s="182">
        <v>65686278.59127941</v>
      </c>
      <c r="Z13" s="182">
        <v>67000004.163104996</v>
      </c>
      <c r="AA13" s="182">
        <v>68340004.246367097</v>
      </c>
      <c r="AB13" s="182">
        <v>69706804.331294447</v>
      </c>
      <c r="AC13" s="182">
        <v>71100940.417920336</v>
      </c>
      <c r="AD13" s="182">
        <v>72522959.226278737</v>
      </c>
      <c r="AE13" s="182">
        <v>73973418.410804316</v>
      </c>
      <c r="AF13" s="182">
        <v>75452886.779020399</v>
      </c>
      <c r="AG13" s="182">
        <v>76961944.514600813</v>
      </c>
    </row>
    <row r="14" spans="2:33">
      <c r="B14" s="3" t="s">
        <v>55</v>
      </c>
      <c r="C14" s="180">
        <f>SUM(D14:AG14)</f>
        <v>0</v>
      </c>
      <c r="D14" s="182">
        <v>0</v>
      </c>
      <c r="E14" s="182">
        <v>0</v>
      </c>
      <c r="F14" s="182">
        <v>0</v>
      </c>
      <c r="G14" s="182">
        <v>0</v>
      </c>
      <c r="H14" s="182">
        <v>0</v>
      </c>
      <c r="I14" s="182">
        <v>0</v>
      </c>
      <c r="J14" s="182">
        <v>0</v>
      </c>
      <c r="K14" s="182">
        <v>0</v>
      </c>
      <c r="L14" s="182">
        <v>0</v>
      </c>
      <c r="M14" s="182">
        <v>0</v>
      </c>
      <c r="N14" s="182">
        <v>0</v>
      </c>
      <c r="O14" s="182">
        <v>0</v>
      </c>
      <c r="P14" s="182">
        <v>0</v>
      </c>
      <c r="Q14" s="182">
        <v>0</v>
      </c>
      <c r="R14" s="182">
        <v>0</v>
      </c>
      <c r="S14" s="182">
        <v>0</v>
      </c>
      <c r="T14" s="182">
        <v>0</v>
      </c>
      <c r="U14" s="182">
        <v>0</v>
      </c>
      <c r="V14" s="182">
        <v>0</v>
      </c>
      <c r="W14" s="182">
        <v>0</v>
      </c>
      <c r="X14" s="182">
        <v>0</v>
      </c>
      <c r="Y14" s="182">
        <v>0</v>
      </c>
      <c r="Z14" s="182">
        <v>0</v>
      </c>
      <c r="AA14" s="182">
        <v>0</v>
      </c>
      <c r="AB14" s="182">
        <v>0</v>
      </c>
      <c r="AC14" s="182">
        <v>0</v>
      </c>
      <c r="AD14" s="182">
        <v>0</v>
      </c>
      <c r="AE14" s="182">
        <v>0</v>
      </c>
      <c r="AF14" s="182">
        <v>0</v>
      </c>
      <c r="AG14" s="182">
        <v>0</v>
      </c>
    </row>
    <row r="15" spans="2:33">
      <c r="B15" s="4" t="s">
        <v>11</v>
      </c>
      <c r="C15" s="184">
        <f>SUM(D15:AG15)</f>
        <v>1620216724.5130885</v>
      </c>
      <c r="D15" s="184">
        <f>SUM(D13:D14)</f>
        <v>13988620.180313874</v>
      </c>
      <c r="E15" s="184">
        <f t="shared" ref="E15:AG15" si="5">SUM(E13:E14)</f>
        <v>15146530.486155014</v>
      </c>
      <c r="F15" s="184">
        <f t="shared" si="5"/>
        <v>16545392.504186399</v>
      </c>
      <c r="G15" s="184">
        <f t="shared" si="5"/>
        <v>16786344.216376647</v>
      </c>
      <c r="H15" s="184">
        <f t="shared" si="5"/>
        <v>33292076.71201067</v>
      </c>
      <c r="I15" s="184">
        <f t="shared" si="5"/>
        <v>43863625.787736677</v>
      </c>
      <c r="J15" s="184">
        <f t="shared" si="5"/>
        <v>46056807.077123508</v>
      </c>
      <c r="K15" s="184">
        <f t="shared" si="5"/>
        <v>48359647.430979684</v>
      </c>
      <c r="L15" s="184">
        <f t="shared" si="5"/>
        <v>50777629.802528672</v>
      </c>
      <c r="M15" s="184">
        <f t="shared" si="5"/>
        <v>51793182.398579247</v>
      </c>
      <c r="N15" s="184">
        <f t="shared" si="5"/>
        <v>52829046.046550833</v>
      </c>
      <c r="O15" s="184">
        <f t="shared" si="5"/>
        <v>53885626.967481852</v>
      </c>
      <c r="P15" s="184">
        <f t="shared" si="5"/>
        <v>54963339.506831497</v>
      </c>
      <c r="Q15" s="184">
        <f t="shared" si="5"/>
        <v>56062606.296968132</v>
      </c>
      <c r="R15" s="184">
        <f t="shared" si="5"/>
        <v>57183858.422907494</v>
      </c>
      <c r="S15" s="184">
        <f t="shared" si="5"/>
        <v>58327535.591365643</v>
      </c>
      <c r="T15" s="184">
        <f t="shared" si="5"/>
        <v>59494086.303192958</v>
      </c>
      <c r="U15" s="184">
        <f t="shared" si="5"/>
        <v>60683968.029256821</v>
      </c>
      <c r="V15" s="184">
        <f t="shared" si="5"/>
        <v>61897647.389841959</v>
      </c>
      <c r="W15" s="184">
        <f t="shared" si="5"/>
        <v>63135600.337638795</v>
      </c>
      <c r="X15" s="184">
        <f t="shared" si="5"/>
        <v>64398312.344391577</v>
      </c>
      <c r="Y15" s="184">
        <f t="shared" si="5"/>
        <v>65686278.59127941</v>
      </c>
      <c r="Z15" s="184">
        <f t="shared" si="5"/>
        <v>67000004.163104996</v>
      </c>
      <c r="AA15" s="184">
        <f t="shared" si="5"/>
        <v>68340004.246367097</v>
      </c>
      <c r="AB15" s="184">
        <f t="shared" si="5"/>
        <v>69706804.331294447</v>
      </c>
      <c r="AC15" s="184">
        <f t="shared" si="5"/>
        <v>71100940.417920336</v>
      </c>
      <c r="AD15" s="184">
        <f t="shared" si="5"/>
        <v>72522959.226278737</v>
      </c>
      <c r="AE15" s="184">
        <f t="shared" si="5"/>
        <v>73973418.410804316</v>
      </c>
      <c r="AF15" s="184">
        <f t="shared" si="5"/>
        <v>75452886.779020399</v>
      </c>
      <c r="AG15" s="184">
        <f t="shared" si="5"/>
        <v>76961944.514600813</v>
      </c>
    </row>
    <row r="18" spans="2:33">
      <c r="B18" s="3"/>
      <c r="C18" s="3"/>
      <c r="D18" s="3" t="s">
        <v>10</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2:33">
      <c r="B19" s="4" t="s">
        <v>254</v>
      </c>
      <c r="C19" s="4"/>
      <c r="D19" s="3">
        <v>1</v>
      </c>
      <c r="E19" s="3">
        <v>2</v>
      </c>
      <c r="F19" s="3">
        <v>3</v>
      </c>
      <c r="G19" s="3">
        <v>4</v>
      </c>
      <c r="H19" s="3">
        <v>5</v>
      </c>
      <c r="I19" s="3">
        <v>6</v>
      </c>
      <c r="J19" s="3">
        <v>7</v>
      </c>
      <c r="K19" s="3">
        <v>8</v>
      </c>
      <c r="L19" s="3">
        <v>9</v>
      </c>
      <c r="M19" s="3">
        <v>10</v>
      </c>
      <c r="N19" s="3">
        <v>11</v>
      </c>
      <c r="O19" s="3">
        <v>12</v>
      </c>
      <c r="P19" s="3">
        <v>13</v>
      </c>
      <c r="Q19" s="3">
        <v>14</v>
      </c>
      <c r="R19" s="3">
        <v>15</v>
      </c>
      <c r="S19" s="3">
        <v>16</v>
      </c>
      <c r="T19" s="3">
        <v>17</v>
      </c>
      <c r="U19" s="3">
        <v>18</v>
      </c>
      <c r="V19" s="3">
        <v>19</v>
      </c>
      <c r="W19" s="3">
        <v>20</v>
      </c>
      <c r="X19" s="3">
        <v>21</v>
      </c>
      <c r="Y19" s="3">
        <v>22</v>
      </c>
      <c r="Z19" s="3">
        <v>23</v>
      </c>
      <c r="AA19" s="3">
        <v>24</v>
      </c>
      <c r="AB19" s="3">
        <v>25</v>
      </c>
      <c r="AC19" s="3">
        <v>26</v>
      </c>
      <c r="AD19" s="3">
        <v>27</v>
      </c>
      <c r="AE19" s="3">
        <v>28</v>
      </c>
      <c r="AF19" s="3">
        <v>29</v>
      </c>
      <c r="AG19" s="3">
        <v>30</v>
      </c>
    </row>
    <row r="20" spans="2:33">
      <c r="B20" s="170" t="s">
        <v>255</v>
      </c>
      <c r="C20" s="170" t="s">
        <v>9</v>
      </c>
      <c r="D20" s="171">
        <f>D4</f>
        <v>2023</v>
      </c>
      <c r="E20" s="171">
        <f t="shared" ref="E20:AF20" si="6">E4</f>
        <v>2024</v>
      </c>
      <c r="F20" s="171">
        <f t="shared" si="6"/>
        <v>2025</v>
      </c>
      <c r="G20" s="171">
        <f t="shared" si="6"/>
        <v>2026</v>
      </c>
      <c r="H20" s="171">
        <f t="shared" si="6"/>
        <v>2027</v>
      </c>
      <c r="I20" s="171">
        <f t="shared" si="6"/>
        <v>2028</v>
      </c>
      <c r="J20" s="171">
        <f t="shared" si="6"/>
        <v>2029</v>
      </c>
      <c r="K20" s="171">
        <f t="shared" si="6"/>
        <v>2030</v>
      </c>
      <c r="L20" s="171">
        <f t="shared" si="6"/>
        <v>2031</v>
      </c>
      <c r="M20" s="171">
        <f t="shared" si="6"/>
        <v>2032</v>
      </c>
      <c r="N20" s="171">
        <f t="shared" si="6"/>
        <v>2033</v>
      </c>
      <c r="O20" s="171">
        <f t="shared" si="6"/>
        <v>2034</v>
      </c>
      <c r="P20" s="171">
        <f t="shared" si="6"/>
        <v>2035</v>
      </c>
      <c r="Q20" s="171">
        <f t="shared" si="6"/>
        <v>2036</v>
      </c>
      <c r="R20" s="171">
        <f t="shared" si="6"/>
        <v>2037</v>
      </c>
      <c r="S20" s="171">
        <f t="shared" si="6"/>
        <v>2038</v>
      </c>
      <c r="T20" s="171">
        <f t="shared" si="6"/>
        <v>2039</v>
      </c>
      <c r="U20" s="171">
        <f t="shared" si="6"/>
        <v>2040</v>
      </c>
      <c r="V20" s="171">
        <f t="shared" si="6"/>
        <v>2041</v>
      </c>
      <c r="W20" s="171">
        <f t="shared" si="6"/>
        <v>2042</v>
      </c>
      <c r="X20" s="171">
        <f t="shared" si="6"/>
        <v>2043</v>
      </c>
      <c r="Y20" s="171">
        <f t="shared" si="6"/>
        <v>2044</v>
      </c>
      <c r="Z20" s="171">
        <f t="shared" si="6"/>
        <v>2045</v>
      </c>
      <c r="AA20" s="171">
        <f t="shared" si="6"/>
        <v>2046</v>
      </c>
      <c r="AB20" s="171">
        <f t="shared" si="6"/>
        <v>2047</v>
      </c>
      <c r="AC20" s="171">
        <f t="shared" si="6"/>
        <v>2048</v>
      </c>
      <c r="AD20" s="171">
        <f t="shared" si="6"/>
        <v>2049</v>
      </c>
      <c r="AE20" s="171">
        <f t="shared" si="6"/>
        <v>2050</v>
      </c>
      <c r="AF20" s="171">
        <f t="shared" si="6"/>
        <v>2051</v>
      </c>
      <c r="AG20" s="171">
        <f t="shared" ref="AG20" si="7">AG4</f>
        <v>2052</v>
      </c>
    </row>
    <row r="21" spans="2:33">
      <c r="B21" s="3" t="s">
        <v>354</v>
      </c>
      <c r="C21" s="180">
        <f>SUM(D21:AG21)</f>
        <v>585446725.01902246</v>
      </c>
      <c r="D21" s="180">
        <f>D13-D5</f>
        <v>0</v>
      </c>
      <c r="E21" s="180">
        <f t="shared" ref="E21:AF21" si="8">E13-E5</f>
        <v>0</v>
      </c>
      <c r="F21" s="180">
        <f t="shared" si="8"/>
        <v>0</v>
      </c>
      <c r="G21" s="180">
        <f t="shared" si="8"/>
        <v>0</v>
      </c>
      <c r="H21" s="180">
        <f t="shared" si="8"/>
        <v>6098199.0814804994</v>
      </c>
      <c r="I21" s="180">
        <f t="shared" si="8"/>
        <v>16669748.157206506</v>
      </c>
      <c r="J21" s="180">
        <f t="shared" si="8"/>
        <v>17503235.565066826</v>
      </c>
      <c r="K21" s="180">
        <f t="shared" si="8"/>
        <v>18378397.343320165</v>
      </c>
      <c r="L21" s="180">
        <f t="shared" si="8"/>
        <v>19297317.210486174</v>
      </c>
      <c r="M21" s="180">
        <f t="shared" si="8"/>
        <v>19683263.554695897</v>
      </c>
      <c r="N21" s="180">
        <f t="shared" si="8"/>
        <v>20076928.825789817</v>
      </c>
      <c r="O21" s="180">
        <f t="shared" si="8"/>
        <v>20478467.402305614</v>
      </c>
      <c r="P21" s="180">
        <f t="shared" si="8"/>
        <v>20888036.750351734</v>
      </c>
      <c r="Q21" s="180">
        <f t="shared" si="8"/>
        <v>21305797.485358775</v>
      </c>
      <c r="R21" s="180">
        <f t="shared" si="8"/>
        <v>21731913.435065947</v>
      </c>
      <c r="S21" s="180">
        <f t="shared" si="8"/>
        <v>22166551.70376727</v>
      </c>
      <c r="T21" s="180">
        <f t="shared" si="8"/>
        <v>22609882.737842619</v>
      </c>
      <c r="U21" s="180">
        <f t="shared" si="8"/>
        <v>23062080.392599471</v>
      </c>
      <c r="V21" s="180">
        <f t="shared" si="8"/>
        <v>23523322.00045146</v>
      </c>
      <c r="W21" s="180">
        <f t="shared" si="8"/>
        <v>23993788.440460488</v>
      </c>
      <c r="X21" s="180">
        <f t="shared" si="8"/>
        <v>24473664.209269702</v>
      </c>
      <c r="Y21" s="180">
        <f t="shared" si="8"/>
        <v>24963137.493455097</v>
      </c>
      <c r="Z21" s="180">
        <f t="shared" si="8"/>
        <v>25462400.24332419</v>
      </c>
      <c r="AA21" s="180">
        <f t="shared" si="8"/>
        <v>25971648.248190679</v>
      </c>
      <c r="AB21" s="180">
        <f t="shared" si="8"/>
        <v>26491081.213154502</v>
      </c>
      <c r="AC21" s="180">
        <f t="shared" si="8"/>
        <v>27020902.837417595</v>
      </c>
      <c r="AD21" s="180">
        <f t="shared" si="8"/>
        <v>27561320.894165933</v>
      </c>
      <c r="AE21" s="180">
        <f t="shared" si="8"/>
        <v>28112547.312049262</v>
      </c>
      <c r="AF21" s="180">
        <f t="shared" si="8"/>
        <v>28674798.258290239</v>
      </c>
      <c r="AG21" s="180">
        <f t="shared" ref="AG21" si="9">AG13-AG5</f>
        <v>29248294.223456047</v>
      </c>
    </row>
    <row r="22" spans="2:33">
      <c r="B22" s="3" t="s">
        <v>55</v>
      </c>
      <c r="C22" s="180">
        <f>SUM(D22:AG22)</f>
        <v>0</v>
      </c>
      <c r="D22" s="180">
        <f>D14-D6</f>
        <v>0</v>
      </c>
      <c r="E22" s="180">
        <f t="shared" ref="E22:AF22" si="10">E14-E6</f>
        <v>0</v>
      </c>
      <c r="F22" s="180">
        <f t="shared" si="10"/>
        <v>0</v>
      </c>
      <c r="G22" s="180">
        <f t="shared" si="10"/>
        <v>0</v>
      </c>
      <c r="H22" s="180">
        <f t="shared" si="10"/>
        <v>0</v>
      </c>
      <c r="I22" s="180">
        <f t="shared" si="10"/>
        <v>0</v>
      </c>
      <c r="J22" s="180">
        <f t="shared" si="10"/>
        <v>0</v>
      </c>
      <c r="K22" s="180">
        <f t="shared" si="10"/>
        <v>0</v>
      </c>
      <c r="L22" s="180">
        <f t="shared" si="10"/>
        <v>0</v>
      </c>
      <c r="M22" s="180">
        <f t="shared" si="10"/>
        <v>0</v>
      </c>
      <c r="N22" s="180">
        <f t="shared" si="10"/>
        <v>0</v>
      </c>
      <c r="O22" s="180">
        <f t="shared" si="10"/>
        <v>0</v>
      </c>
      <c r="P22" s="180">
        <f t="shared" si="10"/>
        <v>0</v>
      </c>
      <c r="Q22" s="180">
        <f t="shared" si="10"/>
        <v>0</v>
      </c>
      <c r="R22" s="180">
        <f t="shared" si="10"/>
        <v>0</v>
      </c>
      <c r="S22" s="180">
        <f t="shared" si="10"/>
        <v>0</v>
      </c>
      <c r="T22" s="180">
        <f t="shared" si="10"/>
        <v>0</v>
      </c>
      <c r="U22" s="180">
        <f t="shared" si="10"/>
        <v>0</v>
      </c>
      <c r="V22" s="180">
        <f t="shared" si="10"/>
        <v>0</v>
      </c>
      <c r="W22" s="180">
        <f t="shared" si="10"/>
        <v>0</v>
      </c>
      <c r="X22" s="180">
        <f t="shared" si="10"/>
        <v>0</v>
      </c>
      <c r="Y22" s="180">
        <f t="shared" si="10"/>
        <v>0</v>
      </c>
      <c r="Z22" s="180">
        <f t="shared" si="10"/>
        <v>0</v>
      </c>
      <c r="AA22" s="180">
        <f t="shared" si="10"/>
        <v>0</v>
      </c>
      <c r="AB22" s="180">
        <f t="shared" si="10"/>
        <v>0</v>
      </c>
      <c r="AC22" s="180">
        <f t="shared" si="10"/>
        <v>0</v>
      </c>
      <c r="AD22" s="180">
        <f t="shared" si="10"/>
        <v>0</v>
      </c>
      <c r="AE22" s="180">
        <f t="shared" si="10"/>
        <v>0</v>
      </c>
      <c r="AF22" s="180">
        <f t="shared" si="10"/>
        <v>0</v>
      </c>
      <c r="AG22" s="180">
        <f t="shared" ref="AG22" si="11">AG14-AG6</f>
        <v>0</v>
      </c>
    </row>
    <row r="23" spans="2:33">
      <c r="B23" s="4" t="s">
        <v>11</v>
      </c>
      <c r="C23" s="184">
        <f>SUM(D23:AG23)</f>
        <v>585446725.01902246</v>
      </c>
      <c r="D23" s="184">
        <f>SUM(D21:D22)</f>
        <v>0</v>
      </c>
      <c r="E23" s="184">
        <f t="shared" ref="E23:AF23" si="12">SUM(E21:E22)</f>
        <v>0</v>
      </c>
      <c r="F23" s="184">
        <f t="shared" si="12"/>
        <v>0</v>
      </c>
      <c r="G23" s="184">
        <f t="shared" si="12"/>
        <v>0</v>
      </c>
      <c r="H23" s="184">
        <f t="shared" si="12"/>
        <v>6098199.0814804994</v>
      </c>
      <c r="I23" s="184">
        <f t="shared" si="12"/>
        <v>16669748.157206506</v>
      </c>
      <c r="J23" s="184">
        <f t="shared" si="12"/>
        <v>17503235.565066826</v>
      </c>
      <c r="K23" s="184">
        <f t="shared" si="12"/>
        <v>18378397.343320165</v>
      </c>
      <c r="L23" s="184">
        <f t="shared" si="12"/>
        <v>19297317.210486174</v>
      </c>
      <c r="M23" s="184">
        <f t="shared" si="12"/>
        <v>19683263.554695897</v>
      </c>
      <c r="N23" s="184">
        <f t="shared" si="12"/>
        <v>20076928.825789817</v>
      </c>
      <c r="O23" s="184">
        <f t="shared" si="12"/>
        <v>20478467.402305614</v>
      </c>
      <c r="P23" s="184">
        <f t="shared" si="12"/>
        <v>20888036.750351734</v>
      </c>
      <c r="Q23" s="184">
        <f t="shared" si="12"/>
        <v>21305797.485358775</v>
      </c>
      <c r="R23" s="184">
        <f t="shared" si="12"/>
        <v>21731913.435065947</v>
      </c>
      <c r="S23" s="184">
        <f t="shared" si="12"/>
        <v>22166551.70376727</v>
      </c>
      <c r="T23" s="184">
        <f t="shared" si="12"/>
        <v>22609882.737842619</v>
      </c>
      <c r="U23" s="184">
        <f t="shared" si="12"/>
        <v>23062080.392599471</v>
      </c>
      <c r="V23" s="184">
        <f t="shared" si="12"/>
        <v>23523322.00045146</v>
      </c>
      <c r="W23" s="184">
        <f t="shared" si="12"/>
        <v>23993788.440460488</v>
      </c>
      <c r="X23" s="184">
        <f t="shared" si="12"/>
        <v>24473664.209269702</v>
      </c>
      <c r="Y23" s="184">
        <f t="shared" si="12"/>
        <v>24963137.493455097</v>
      </c>
      <c r="Z23" s="184">
        <f t="shared" si="12"/>
        <v>25462400.24332419</v>
      </c>
      <c r="AA23" s="184">
        <f t="shared" si="12"/>
        <v>25971648.248190679</v>
      </c>
      <c r="AB23" s="184">
        <f t="shared" si="12"/>
        <v>26491081.213154502</v>
      </c>
      <c r="AC23" s="184">
        <f t="shared" si="12"/>
        <v>27020902.837417595</v>
      </c>
      <c r="AD23" s="184">
        <f t="shared" si="12"/>
        <v>27561320.894165933</v>
      </c>
      <c r="AE23" s="184">
        <f t="shared" si="12"/>
        <v>28112547.312049262</v>
      </c>
      <c r="AF23" s="184">
        <f t="shared" si="12"/>
        <v>28674798.258290239</v>
      </c>
      <c r="AG23" s="184">
        <f t="shared" ref="AG23" si="13">SUM(AG21:AG22)</f>
        <v>29248294.223456047</v>
      </c>
    </row>
  </sheetData>
  <sheetProtection algorithmName="SHA-512" hashValue="zB087xbuo64unxhXLAuHZUuqK9+PuJok3BU1KJVQvLuUwKAaMqRJcUwrlNL2qtOrwJns8JUqzACpQRVuEwZgig==" saltValue="9GmX99w+fw3Zgc5sT3HRUA==" spinCount="100000" sheet="1" objects="1" scenarios="1"/>
  <phoneticPr fontId="7" type="noConversion"/>
  <pageMargins left="0.22604166666666667" right="0.24062500000000001" top="1" bottom="1" header="0.5" footer="0.5"/>
  <pageSetup paperSize="9" scale="75" orientation="landscape" r:id="rId1"/>
  <headerFooter alignWithMargins="0">
    <oddHeader>&amp;LPríloha 7: Štandardné tabuľky - Cesty
&amp;"Arial,Tučné"&amp;12 04 Príjmy</oddHeader>
    <oddFooter>Strana &amp;P z &amp;N</oddFooter>
  </headerFooter>
  <ignoredErrors>
    <ignoredError sqref="D7" formulaRange="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B2:AQ24"/>
  <sheetViews>
    <sheetView zoomScale="80" zoomScaleNormal="80" workbookViewId="0">
      <selection activeCell="F6" sqref="F6:F7"/>
    </sheetView>
  </sheetViews>
  <sheetFormatPr defaultColWidth="9.140625" defaultRowHeight="11.25"/>
  <cols>
    <col min="1" max="1" width="2.42578125" style="2" customWidth="1"/>
    <col min="2" max="2" width="35.42578125" style="2" customWidth="1"/>
    <col min="3" max="3" width="12.7109375" style="2" customWidth="1"/>
    <col min="4" max="4" width="13.140625" style="2" bestFit="1" customWidth="1"/>
    <col min="5" max="5" width="6.7109375" style="2" customWidth="1"/>
    <col min="6" max="8" width="12.7109375" style="2" customWidth="1"/>
    <col min="9" max="43" width="6.7109375" style="2" customWidth="1"/>
    <col min="44" max="16384" width="9.140625" style="2"/>
  </cols>
  <sheetData>
    <row r="2" spans="2:43">
      <c r="B2" s="6" t="s">
        <v>14</v>
      </c>
      <c r="C2" s="124" t="s">
        <v>25</v>
      </c>
      <c r="D2" s="124" t="s">
        <v>26</v>
      </c>
    </row>
    <row r="3" spans="2:43">
      <c r="B3" s="3" t="s">
        <v>271</v>
      </c>
      <c r="C3" s="205">
        <f>'01 Investičné výdavky - nájom'!C10</f>
        <v>0</v>
      </c>
      <c r="D3" s="206">
        <f>'06 Finančná analýza - nájom'!C5</f>
        <v>0</v>
      </c>
      <c r="F3" s="2" t="s">
        <v>238</v>
      </c>
    </row>
    <row r="4" spans="2:43">
      <c r="B4" s="3" t="s">
        <v>15</v>
      </c>
      <c r="C4" s="205">
        <f>'06 Finančná analýza - nájom'!AG8</f>
        <v>0</v>
      </c>
      <c r="D4" s="206">
        <f>'06 Finančná analýza - nájom'!C8</f>
        <v>0</v>
      </c>
    </row>
    <row r="5" spans="2:43">
      <c r="B5" s="3" t="s">
        <v>222</v>
      </c>
      <c r="C5" s="205">
        <f>'04 Prevádzkové príjmy - nájom'!C23</f>
        <v>585446725.01902246</v>
      </c>
      <c r="D5" s="206">
        <f>'06 Finančná analýza - nájom'!C7</f>
        <v>301628118.67788249</v>
      </c>
    </row>
    <row r="6" spans="2:43">
      <c r="B6" s="3" t="s">
        <v>59</v>
      </c>
      <c r="C6" s="205">
        <f>'03 Prevádzkové výdavky prenájom'!C32</f>
        <v>686142170.00000012</v>
      </c>
      <c r="D6" s="206">
        <f>'06 Finančná analýza - nájom'!C6</f>
        <v>263379075.88619676</v>
      </c>
      <c r="F6" s="835" t="s">
        <v>726</v>
      </c>
    </row>
    <row r="7" spans="2:43">
      <c r="B7" s="3" t="s">
        <v>270</v>
      </c>
      <c r="C7" s="207"/>
      <c r="D7" s="206">
        <f>IF(D5&gt;D6,D4+D5-D6,0)</f>
        <v>38249042.79168573</v>
      </c>
      <c r="F7" s="835" t="s">
        <v>727</v>
      </c>
    </row>
    <row r="8" spans="2:43">
      <c r="B8" s="3" t="s">
        <v>272</v>
      </c>
      <c r="C8" s="208"/>
      <c r="D8" s="206">
        <f>D3-D7</f>
        <v>-38249042.79168573</v>
      </c>
    </row>
    <row r="9" spans="2:43">
      <c r="B9" s="3" t="s">
        <v>273</v>
      </c>
      <c r="C9" s="136"/>
      <c r="D9" s="209" t="e">
        <f>D8/D3</f>
        <v>#DIV/0!</v>
      </c>
    </row>
    <row r="12" spans="2:43">
      <c r="B12" s="6" t="s">
        <v>16</v>
      </c>
      <c r="C12" s="17"/>
    </row>
    <row r="13" spans="2:43">
      <c r="B13" s="3" t="s">
        <v>223</v>
      </c>
      <c r="C13" s="180">
        <f>'01 Investičné výdavky - nájom'!C16</f>
        <v>0</v>
      </c>
    </row>
    <row r="14" spans="2:43">
      <c r="B14" s="12"/>
    </row>
    <row r="15" spans="2:43">
      <c r="B15" s="12"/>
    </row>
    <row r="16" spans="2:43">
      <c r="B16" s="3"/>
      <c r="C16" s="3"/>
      <c r="D16" s="3" t="s">
        <v>10</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spans="2:43">
      <c r="B17" s="4"/>
      <c r="C17" s="4"/>
      <c r="D17" s="5">
        <v>1</v>
      </c>
      <c r="E17" s="5">
        <v>2</v>
      </c>
      <c r="F17" s="5">
        <v>3</v>
      </c>
      <c r="G17" s="5">
        <v>4</v>
      </c>
      <c r="H17" s="5">
        <v>5</v>
      </c>
      <c r="I17" s="5">
        <v>6</v>
      </c>
      <c r="J17" s="5">
        <v>7</v>
      </c>
      <c r="K17" s="5">
        <v>8</v>
      </c>
      <c r="L17" s="5">
        <v>9</v>
      </c>
      <c r="M17" s="5">
        <v>10</v>
      </c>
      <c r="N17" s="5">
        <v>11</v>
      </c>
      <c r="O17" s="5">
        <v>12</v>
      </c>
      <c r="P17" s="5">
        <v>13</v>
      </c>
      <c r="Q17" s="5">
        <v>14</v>
      </c>
      <c r="R17" s="5">
        <v>15</v>
      </c>
      <c r="S17" s="5">
        <v>16</v>
      </c>
      <c r="T17" s="5">
        <v>17</v>
      </c>
      <c r="U17" s="5">
        <v>18</v>
      </c>
      <c r="V17" s="5">
        <v>19</v>
      </c>
      <c r="W17" s="5">
        <v>20</v>
      </c>
      <c r="X17" s="5">
        <v>21</v>
      </c>
      <c r="Y17" s="5">
        <v>22</v>
      </c>
      <c r="Z17" s="5">
        <v>23</v>
      </c>
      <c r="AA17" s="5">
        <v>24</v>
      </c>
      <c r="AB17" s="5">
        <v>25</v>
      </c>
      <c r="AC17" s="5">
        <v>26</v>
      </c>
      <c r="AD17" s="5">
        <v>27</v>
      </c>
      <c r="AE17" s="5">
        <v>28</v>
      </c>
      <c r="AF17" s="5">
        <v>29</v>
      </c>
      <c r="AG17" s="5">
        <v>30</v>
      </c>
      <c r="AH17" s="5">
        <v>31</v>
      </c>
      <c r="AI17" s="5">
        <v>32</v>
      </c>
      <c r="AJ17" s="5">
        <v>33</v>
      </c>
      <c r="AK17" s="5">
        <v>34</v>
      </c>
      <c r="AL17" s="5">
        <v>35</v>
      </c>
      <c r="AM17" s="5">
        <v>36</v>
      </c>
      <c r="AN17" s="5">
        <v>37</v>
      </c>
      <c r="AO17" s="5">
        <v>38</v>
      </c>
      <c r="AP17" s="5">
        <v>39</v>
      </c>
      <c r="AQ17" s="5">
        <v>40</v>
      </c>
    </row>
    <row r="18" spans="2:43">
      <c r="B18" s="6" t="s">
        <v>241</v>
      </c>
      <c r="C18" s="124" t="s">
        <v>9</v>
      </c>
      <c r="D18" s="7">
        <v>2023</v>
      </c>
      <c r="E18" s="7">
        <f>$D$18+D17</f>
        <v>2024</v>
      </c>
      <c r="F18" s="7">
        <f t="shared" ref="F18:AQ18" si="0">$D$18+E17</f>
        <v>2025</v>
      </c>
      <c r="G18" s="7">
        <f t="shared" si="0"/>
        <v>2026</v>
      </c>
      <c r="H18" s="7">
        <f t="shared" si="0"/>
        <v>2027</v>
      </c>
      <c r="I18" s="7">
        <f t="shared" si="0"/>
        <v>2028</v>
      </c>
      <c r="J18" s="7">
        <f t="shared" si="0"/>
        <v>2029</v>
      </c>
      <c r="K18" s="7">
        <f t="shared" si="0"/>
        <v>2030</v>
      </c>
      <c r="L18" s="7">
        <f t="shared" si="0"/>
        <v>2031</v>
      </c>
      <c r="M18" s="7">
        <f t="shared" si="0"/>
        <v>2032</v>
      </c>
      <c r="N18" s="7">
        <f t="shared" si="0"/>
        <v>2033</v>
      </c>
      <c r="O18" s="7">
        <f t="shared" si="0"/>
        <v>2034</v>
      </c>
      <c r="P18" s="7">
        <f t="shared" si="0"/>
        <v>2035</v>
      </c>
      <c r="Q18" s="7">
        <f t="shared" si="0"/>
        <v>2036</v>
      </c>
      <c r="R18" s="7">
        <f t="shared" si="0"/>
        <v>2037</v>
      </c>
      <c r="S18" s="7">
        <f t="shared" si="0"/>
        <v>2038</v>
      </c>
      <c r="T18" s="7">
        <f t="shared" si="0"/>
        <v>2039</v>
      </c>
      <c r="U18" s="7">
        <f t="shared" si="0"/>
        <v>2040</v>
      </c>
      <c r="V18" s="7">
        <f t="shared" si="0"/>
        <v>2041</v>
      </c>
      <c r="W18" s="7">
        <f t="shared" si="0"/>
        <v>2042</v>
      </c>
      <c r="X18" s="7">
        <f t="shared" si="0"/>
        <v>2043</v>
      </c>
      <c r="Y18" s="7">
        <f t="shared" si="0"/>
        <v>2044</v>
      </c>
      <c r="Z18" s="7">
        <f t="shared" si="0"/>
        <v>2045</v>
      </c>
      <c r="AA18" s="7">
        <f t="shared" si="0"/>
        <v>2046</v>
      </c>
      <c r="AB18" s="7">
        <f t="shared" si="0"/>
        <v>2047</v>
      </c>
      <c r="AC18" s="7">
        <f t="shared" si="0"/>
        <v>2048</v>
      </c>
      <c r="AD18" s="7">
        <f t="shared" si="0"/>
        <v>2049</v>
      </c>
      <c r="AE18" s="7">
        <f t="shared" si="0"/>
        <v>2050</v>
      </c>
      <c r="AF18" s="7">
        <f t="shared" si="0"/>
        <v>2051</v>
      </c>
      <c r="AG18" s="7">
        <f t="shared" si="0"/>
        <v>2052</v>
      </c>
      <c r="AH18" s="7">
        <f t="shared" si="0"/>
        <v>2053</v>
      </c>
      <c r="AI18" s="7">
        <f t="shared" si="0"/>
        <v>2054</v>
      </c>
      <c r="AJ18" s="7">
        <f t="shared" si="0"/>
        <v>2055</v>
      </c>
      <c r="AK18" s="7">
        <f t="shared" si="0"/>
        <v>2056</v>
      </c>
      <c r="AL18" s="7">
        <f t="shared" si="0"/>
        <v>2057</v>
      </c>
      <c r="AM18" s="7">
        <f t="shared" si="0"/>
        <v>2058</v>
      </c>
      <c r="AN18" s="7">
        <f t="shared" si="0"/>
        <v>2059</v>
      </c>
      <c r="AO18" s="7">
        <f t="shared" si="0"/>
        <v>2060</v>
      </c>
      <c r="AP18" s="7">
        <f t="shared" si="0"/>
        <v>2061</v>
      </c>
      <c r="AQ18" s="7">
        <f t="shared" si="0"/>
        <v>2062</v>
      </c>
    </row>
    <row r="19" spans="2:43">
      <c r="B19" s="3" t="s">
        <v>60</v>
      </c>
      <c r="C19" s="180">
        <f>SUM(D19:AQ19)</f>
        <v>0</v>
      </c>
      <c r="D19" s="180">
        <f>'01 Investičné výdavky - nájom'!D16</f>
        <v>0</v>
      </c>
      <c r="E19" s="180">
        <f>'01 Investičné výdavky - nájom'!E16</f>
        <v>0</v>
      </c>
      <c r="F19" s="180">
        <f>'01 Investičné výdavky - nájom'!F16</f>
        <v>0</v>
      </c>
      <c r="G19" s="180">
        <f>'01 Investičné výdavky - nájom'!G16</f>
        <v>0</v>
      </c>
      <c r="H19" s="180">
        <f>'01 Investičné výdavky - nájom'!H16</f>
        <v>0</v>
      </c>
      <c r="I19" s="180">
        <f>'01 Investičné výdavky - nájom'!I16</f>
        <v>0</v>
      </c>
      <c r="J19" s="180">
        <f>'01 Investičné výdavky - nájom'!J16</f>
        <v>0</v>
      </c>
      <c r="K19" s="180">
        <f>'01 Investičné výdavky - nájom'!K16</f>
        <v>0</v>
      </c>
      <c r="L19" s="180">
        <f>'01 Investičné výdavky - nájom'!L16</f>
        <v>0</v>
      </c>
      <c r="M19" s="180">
        <f>'01 Investičné výdavky - nájom'!M16</f>
        <v>0</v>
      </c>
      <c r="N19" s="180">
        <f>'01 Investičné výdavky - nájom'!N16</f>
        <v>0</v>
      </c>
      <c r="O19" s="180">
        <f>'01 Investičné výdavky - nájom'!O16</f>
        <v>0</v>
      </c>
      <c r="P19" s="180">
        <f>'01 Investičné výdavky - nájom'!P16</f>
        <v>0</v>
      </c>
      <c r="Q19" s="180">
        <f>'01 Investičné výdavky - nájom'!Q16</f>
        <v>0</v>
      </c>
      <c r="R19" s="180">
        <f>'01 Investičné výdavky - nájom'!R16</f>
        <v>0</v>
      </c>
      <c r="S19" s="180">
        <f>'01 Investičné výdavky - nájom'!S16</f>
        <v>0</v>
      </c>
      <c r="T19" s="180">
        <f>'01 Investičné výdavky - nájom'!T16</f>
        <v>0</v>
      </c>
      <c r="U19" s="180">
        <f>'01 Investičné výdavky - nájom'!U16</f>
        <v>0</v>
      </c>
      <c r="V19" s="180">
        <f>'01 Investičné výdavky - nájom'!V16</f>
        <v>0</v>
      </c>
      <c r="W19" s="180">
        <f>'01 Investičné výdavky - nájom'!W16</f>
        <v>0</v>
      </c>
      <c r="X19" s="180">
        <f>'01 Investičné výdavky - nájom'!X16</f>
        <v>0</v>
      </c>
      <c r="Y19" s="180">
        <f>'01 Investičné výdavky - nájom'!Y16</f>
        <v>0</v>
      </c>
      <c r="Z19" s="180">
        <f>'01 Investičné výdavky - nájom'!Z16</f>
        <v>0</v>
      </c>
      <c r="AA19" s="180">
        <f>'01 Investičné výdavky - nájom'!AA16</f>
        <v>0</v>
      </c>
      <c r="AB19" s="180">
        <f>'01 Investičné výdavky - nájom'!AB16</f>
        <v>0</v>
      </c>
      <c r="AC19" s="180">
        <f>'01 Investičné výdavky - nájom'!AC16</f>
        <v>0</v>
      </c>
      <c r="AD19" s="180">
        <f>'01 Investičné výdavky - nájom'!AD16</f>
        <v>0</v>
      </c>
      <c r="AE19" s="180">
        <f>'01 Investičné výdavky - nájom'!AE16</f>
        <v>0</v>
      </c>
      <c r="AF19" s="180">
        <f>'01 Investičné výdavky - nájom'!AF16</f>
        <v>0</v>
      </c>
      <c r="AG19" s="180">
        <f>'01 Investičné výdavky - nájom'!AG16</f>
        <v>0</v>
      </c>
      <c r="AH19" s="180">
        <f>'01 Investičné výdavky - nájom'!AH16</f>
        <v>0</v>
      </c>
      <c r="AI19" s="180">
        <f>'01 Investičné výdavky - nájom'!AI16</f>
        <v>0</v>
      </c>
      <c r="AJ19" s="180">
        <f>'01 Investičné výdavky - nájom'!AJ16</f>
        <v>0</v>
      </c>
      <c r="AK19" s="180">
        <f>'01 Investičné výdavky - nájom'!AK16</f>
        <v>0</v>
      </c>
      <c r="AL19" s="180">
        <f>'01 Investičné výdavky - nájom'!AL16</f>
        <v>0</v>
      </c>
      <c r="AM19" s="180">
        <f>'01 Investičné výdavky - nájom'!AM16</f>
        <v>0</v>
      </c>
      <c r="AN19" s="180">
        <f>'01 Investičné výdavky - nájom'!AN16</f>
        <v>0</v>
      </c>
      <c r="AO19" s="180">
        <f>'01 Investičné výdavky - nájom'!AO16</f>
        <v>0</v>
      </c>
      <c r="AP19" s="180">
        <f>'01 Investičné výdavky - nájom'!AP16</f>
        <v>0</v>
      </c>
      <c r="AQ19" s="180">
        <f>'01 Investičné výdavky - nájom'!AQ16</f>
        <v>0</v>
      </c>
    </row>
    <row r="20" spans="2:43">
      <c r="B20" s="3" t="s">
        <v>242</v>
      </c>
      <c r="C20" s="180">
        <f>SUM(D20:AQ20)</f>
        <v>0</v>
      </c>
      <c r="D20" s="182">
        <v>0</v>
      </c>
      <c r="E20" s="182">
        <v>0</v>
      </c>
      <c r="F20" s="182">
        <v>0</v>
      </c>
      <c r="G20" s="182">
        <v>0</v>
      </c>
      <c r="H20" s="182">
        <v>0</v>
      </c>
      <c r="I20" s="182">
        <v>0</v>
      </c>
      <c r="J20" s="182">
        <v>0</v>
      </c>
      <c r="K20" s="182">
        <v>0</v>
      </c>
      <c r="L20" s="182">
        <v>0</v>
      </c>
      <c r="M20" s="182">
        <v>0</v>
      </c>
      <c r="N20" s="182">
        <v>0</v>
      </c>
      <c r="O20" s="182">
        <v>0</v>
      </c>
      <c r="P20" s="182">
        <v>0</v>
      </c>
      <c r="Q20" s="182">
        <v>0</v>
      </c>
      <c r="R20" s="182">
        <v>0</v>
      </c>
      <c r="S20" s="182">
        <v>0</v>
      </c>
      <c r="T20" s="182">
        <v>0</v>
      </c>
      <c r="U20" s="182">
        <v>0</v>
      </c>
      <c r="V20" s="182">
        <v>0</v>
      </c>
      <c r="W20" s="182">
        <v>0</v>
      </c>
      <c r="X20" s="182">
        <v>0</v>
      </c>
      <c r="Y20" s="182">
        <v>0</v>
      </c>
      <c r="Z20" s="182">
        <v>0</v>
      </c>
      <c r="AA20" s="182">
        <v>0</v>
      </c>
      <c r="AB20" s="182">
        <v>0</v>
      </c>
      <c r="AC20" s="182">
        <v>0</v>
      </c>
      <c r="AD20" s="182">
        <v>0</v>
      </c>
      <c r="AE20" s="182">
        <v>0</v>
      </c>
      <c r="AF20" s="182">
        <v>0</v>
      </c>
      <c r="AG20" s="182">
        <v>0</v>
      </c>
      <c r="AH20" s="182">
        <v>0</v>
      </c>
      <c r="AI20" s="182">
        <v>0</v>
      </c>
      <c r="AJ20" s="182">
        <v>0</v>
      </c>
      <c r="AK20" s="182">
        <v>0</v>
      </c>
      <c r="AL20" s="182">
        <v>0</v>
      </c>
      <c r="AM20" s="182">
        <v>0</v>
      </c>
      <c r="AN20" s="182">
        <v>0</v>
      </c>
      <c r="AO20" s="182">
        <v>0</v>
      </c>
      <c r="AP20" s="182">
        <v>0</v>
      </c>
      <c r="AQ20" s="182">
        <v>0</v>
      </c>
    </row>
    <row r="21" spans="2:43" hidden="1">
      <c r="B21" s="3" t="s">
        <v>236</v>
      </c>
      <c r="C21" s="8">
        <f t="shared" ref="C21:C22" si="1">SUM(D21:AQ21)</f>
        <v>0</v>
      </c>
      <c r="D21" s="8">
        <v>0</v>
      </c>
      <c r="E21" s="8">
        <v>0</v>
      </c>
      <c r="F21" s="8">
        <v>0</v>
      </c>
      <c r="G21" s="8">
        <v>0</v>
      </c>
      <c r="H21" s="8">
        <v>0</v>
      </c>
      <c r="I21" s="8">
        <v>0</v>
      </c>
      <c r="J21" s="8">
        <v>0</v>
      </c>
      <c r="K21" s="8">
        <v>0</v>
      </c>
      <c r="L21" s="8">
        <v>0</v>
      </c>
      <c r="M21" s="8">
        <v>0</v>
      </c>
      <c r="N21" s="8">
        <v>0</v>
      </c>
      <c r="O21" s="8">
        <v>0</v>
      </c>
      <c r="P21" s="8">
        <v>0</v>
      </c>
      <c r="Q21" s="8">
        <v>0</v>
      </c>
      <c r="R21" s="8">
        <v>0</v>
      </c>
      <c r="S21" s="8">
        <v>0</v>
      </c>
      <c r="T21" s="8">
        <v>0</v>
      </c>
      <c r="U21" s="8">
        <v>0</v>
      </c>
      <c r="V21" s="8">
        <v>0</v>
      </c>
      <c r="W21" s="8">
        <v>0</v>
      </c>
      <c r="X21" s="8">
        <v>0</v>
      </c>
      <c r="Y21" s="8">
        <v>0</v>
      </c>
      <c r="Z21" s="8">
        <v>0</v>
      </c>
      <c r="AA21" s="8">
        <v>0</v>
      </c>
      <c r="AB21" s="8">
        <v>0</v>
      </c>
      <c r="AC21" s="8">
        <v>0</v>
      </c>
      <c r="AD21" s="8">
        <v>0</v>
      </c>
      <c r="AE21" s="8">
        <v>0</v>
      </c>
      <c r="AF21" s="8">
        <v>0</v>
      </c>
      <c r="AG21" s="8"/>
      <c r="AH21" s="8"/>
      <c r="AI21" s="8"/>
      <c r="AJ21" s="8"/>
      <c r="AK21" s="8"/>
      <c r="AL21" s="8"/>
      <c r="AM21" s="8"/>
      <c r="AN21" s="8"/>
      <c r="AO21" s="8"/>
      <c r="AP21" s="8"/>
      <c r="AQ21" s="8">
        <v>0</v>
      </c>
    </row>
    <row r="22" spans="2:43" hidden="1">
      <c r="B22" s="3" t="s">
        <v>237</v>
      </c>
      <c r="C22" s="8">
        <f t="shared" si="1"/>
        <v>0</v>
      </c>
      <c r="D22" s="8">
        <f>D19-D21</f>
        <v>0</v>
      </c>
      <c r="E22" s="8">
        <f t="shared" ref="E22:AQ22" si="2">E19-E21</f>
        <v>0</v>
      </c>
      <c r="F22" s="8">
        <f t="shared" si="2"/>
        <v>0</v>
      </c>
      <c r="G22" s="8">
        <f t="shared" si="2"/>
        <v>0</v>
      </c>
      <c r="H22" s="8">
        <f t="shared" si="2"/>
        <v>0</v>
      </c>
      <c r="I22" s="8">
        <f t="shared" si="2"/>
        <v>0</v>
      </c>
      <c r="J22" s="8">
        <f t="shared" si="2"/>
        <v>0</v>
      </c>
      <c r="K22" s="8">
        <f t="shared" si="2"/>
        <v>0</v>
      </c>
      <c r="L22" s="8">
        <f t="shared" si="2"/>
        <v>0</v>
      </c>
      <c r="M22" s="8">
        <f t="shared" si="2"/>
        <v>0</v>
      </c>
      <c r="N22" s="8">
        <f t="shared" si="2"/>
        <v>0</v>
      </c>
      <c r="O22" s="8">
        <f t="shared" si="2"/>
        <v>0</v>
      </c>
      <c r="P22" s="8">
        <f t="shared" si="2"/>
        <v>0</v>
      </c>
      <c r="Q22" s="8">
        <f t="shared" si="2"/>
        <v>0</v>
      </c>
      <c r="R22" s="8">
        <f t="shared" si="2"/>
        <v>0</v>
      </c>
      <c r="S22" s="8">
        <f t="shared" si="2"/>
        <v>0</v>
      </c>
      <c r="T22" s="8">
        <f t="shared" si="2"/>
        <v>0</v>
      </c>
      <c r="U22" s="8">
        <f t="shared" si="2"/>
        <v>0</v>
      </c>
      <c r="V22" s="8">
        <f t="shared" si="2"/>
        <v>0</v>
      </c>
      <c r="W22" s="8">
        <f t="shared" si="2"/>
        <v>0</v>
      </c>
      <c r="X22" s="8">
        <f t="shared" si="2"/>
        <v>0</v>
      </c>
      <c r="Y22" s="8">
        <f t="shared" si="2"/>
        <v>0</v>
      </c>
      <c r="Z22" s="8">
        <f t="shared" si="2"/>
        <v>0</v>
      </c>
      <c r="AA22" s="8">
        <f t="shared" si="2"/>
        <v>0</v>
      </c>
      <c r="AB22" s="8">
        <f t="shared" si="2"/>
        <v>0</v>
      </c>
      <c r="AC22" s="8">
        <f t="shared" si="2"/>
        <v>0</v>
      </c>
      <c r="AD22" s="8">
        <f t="shared" si="2"/>
        <v>0</v>
      </c>
      <c r="AE22" s="8">
        <f t="shared" si="2"/>
        <v>0</v>
      </c>
      <c r="AF22" s="8">
        <f t="shared" si="2"/>
        <v>0</v>
      </c>
      <c r="AG22" s="8"/>
      <c r="AH22" s="8"/>
      <c r="AI22" s="8"/>
      <c r="AJ22" s="8"/>
      <c r="AK22" s="8"/>
      <c r="AL22" s="8"/>
      <c r="AM22" s="8"/>
      <c r="AN22" s="8"/>
      <c r="AO22" s="8"/>
      <c r="AP22" s="8"/>
      <c r="AQ22" s="8">
        <f t="shared" si="2"/>
        <v>0</v>
      </c>
    </row>
    <row r="23" spans="2:43" hidden="1">
      <c r="B23" s="1" t="s">
        <v>240</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row>
    <row r="24" spans="2:43" hidden="1">
      <c r="B24" s="1" t="s">
        <v>243</v>
      </c>
    </row>
  </sheetData>
  <sheetProtection algorithmName="SHA-512" hashValue="jD963ghnpDTdExtLS2i/es7LdYWYNGXLsktPsVtEwn0kyMRjmNecKQSzIUXFLcC92gYTh3brO92XjJtARObwsw==" saltValue="cV/vsa/dAq0QnlzSBH+H6A==" spinCount="100000" sheet="1" objects="1" scenarios="1"/>
  <phoneticPr fontId="7" type="noConversion"/>
  <pageMargins left="0.1953125" right="0.34375" top="1" bottom="1" header="0.5" footer="0.5"/>
  <pageSetup scale="75" orientation="landscape" r:id="rId1"/>
  <headerFooter alignWithMargins="0">
    <oddFooter>Strana &amp;P z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B2:AG60"/>
  <sheetViews>
    <sheetView topLeftCell="A9" zoomScaleNormal="100" workbookViewId="0">
      <selection activeCell="B11" sqref="B11:C11"/>
    </sheetView>
  </sheetViews>
  <sheetFormatPr defaultColWidth="9.140625" defaultRowHeight="11.25"/>
  <cols>
    <col min="1" max="1" width="2.7109375" style="2" customWidth="1"/>
    <col min="2" max="2" width="49" style="2" customWidth="1"/>
    <col min="3" max="3" width="16" style="2" customWidth="1"/>
    <col min="4" max="33" width="15.42578125" style="2" customWidth="1"/>
    <col min="34" max="34" width="5" style="2" bestFit="1" customWidth="1"/>
    <col min="35" max="16384" width="9.140625" style="2"/>
  </cols>
  <sheetData>
    <row r="2" spans="2:33">
      <c r="B2" s="12" t="s">
        <v>21</v>
      </c>
      <c r="C2" s="12"/>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c r="C3" s="15" t="s">
        <v>9</v>
      </c>
      <c r="D3" s="5">
        <v>1</v>
      </c>
      <c r="E3" s="5">
        <v>2</v>
      </c>
      <c r="F3" s="5">
        <v>3</v>
      </c>
      <c r="G3" s="5">
        <v>4</v>
      </c>
      <c r="H3" s="5">
        <v>5</v>
      </c>
      <c r="I3" s="5">
        <v>6</v>
      </c>
      <c r="J3" s="5">
        <v>7</v>
      </c>
      <c r="K3" s="5">
        <v>8</v>
      </c>
      <c r="L3" s="5">
        <v>9</v>
      </c>
      <c r="M3" s="5">
        <v>10</v>
      </c>
      <c r="N3" s="5">
        <v>11</v>
      </c>
      <c r="O3" s="5">
        <v>12</v>
      </c>
      <c r="P3" s="5">
        <v>13</v>
      </c>
      <c r="Q3" s="5">
        <v>14</v>
      </c>
      <c r="R3" s="5">
        <v>15</v>
      </c>
      <c r="S3" s="5">
        <v>16</v>
      </c>
      <c r="T3" s="5">
        <v>17</v>
      </c>
      <c r="U3" s="5">
        <v>18</v>
      </c>
      <c r="V3" s="5">
        <v>19</v>
      </c>
      <c r="W3" s="5">
        <v>20</v>
      </c>
      <c r="X3" s="5">
        <v>21</v>
      </c>
      <c r="Y3" s="5">
        <v>22</v>
      </c>
      <c r="Z3" s="5">
        <v>23</v>
      </c>
      <c r="AA3" s="5">
        <v>24</v>
      </c>
      <c r="AB3" s="5">
        <v>25</v>
      </c>
      <c r="AC3" s="5">
        <v>26</v>
      </c>
      <c r="AD3" s="5">
        <v>27</v>
      </c>
      <c r="AE3" s="5">
        <v>28</v>
      </c>
      <c r="AF3" s="5">
        <v>29</v>
      </c>
      <c r="AG3" s="5">
        <v>30</v>
      </c>
    </row>
    <row r="4" spans="2:33">
      <c r="B4" s="6" t="s">
        <v>37</v>
      </c>
      <c r="C4" s="124" t="s">
        <v>232</v>
      </c>
      <c r="D4" s="7">
        <f>Parametre!C13</f>
        <v>2023</v>
      </c>
      <c r="E4" s="7">
        <f>$D$4+D3</f>
        <v>2024</v>
      </c>
      <c r="F4" s="7">
        <f>$D$4+E3</f>
        <v>2025</v>
      </c>
      <c r="G4" s="7">
        <f t="shared" ref="G4:AF4" si="0">$D$4+F3</f>
        <v>2026</v>
      </c>
      <c r="H4" s="7">
        <f t="shared" si="0"/>
        <v>2027</v>
      </c>
      <c r="I4" s="7">
        <f t="shared" si="0"/>
        <v>2028</v>
      </c>
      <c r="J4" s="7">
        <f t="shared" si="0"/>
        <v>2029</v>
      </c>
      <c r="K4" s="7">
        <f t="shared" si="0"/>
        <v>2030</v>
      </c>
      <c r="L4" s="7">
        <f t="shared" si="0"/>
        <v>2031</v>
      </c>
      <c r="M4" s="7">
        <f t="shared" si="0"/>
        <v>2032</v>
      </c>
      <c r="N4" s="7">
        <f t="shared" si="0"/>
        <v>2033</v>
      </c>
      <c r="O4" s="7">
        <f t="shared" si="0"/>
        <v>2034</v>
      </c>
      <c r="P4" s="7">
        <f t="shared" si="0"/>
        <v>2035</v>
      </c>
      <c r="Q4" s="7">
        <f t="shared" si="0"/>
        <v>2036</v>
      </c>
      <c r="R4" s="7">
        <f t="shared" si="0"/>
        <v>2037</v>
      </c>
      <c r="S4" s="7">
        <f t="shared" si="0"/>
        <v>2038</v>
      </c>
      <c r="T4" s="7">
        <f t="shared" si="0"/>
        <v>2039</v>
      </c>
      <c r="U4" s="7">
        <f t="shared" si="0"/>
        <v>2040</v>
      </c>
      <c r="V4" s="7">
        <f t="shared" si="0"/>
        <v>2041</v>
      </c>
      <c r="W4" s="7">
        <f t="shared" si="0"/>
        <v>2042</v>
      </c>
      <c r="X4" s="7">
        <f t="shared" si="0"/>
        <v>2043</v>
      </c>
      <c r="Y4" s="7">
        <f t="shared" si="0"/>
        <v>2044</v>
      </c>
      <c r="Z4" s="7">
        <f t="shared" si="0"/>
        <v>2045</v>
      </c>
      <c r="AA4" s="7">
        <f t="shared" si="0"/>
        <v>2046</v>
      </c>
      <c r="AB4" s="7">
        <f t="shared" si="0"/>
        <v>2047</v>
      </c>
      <c r="AC4" s="7">
        <f t="shared" si="0"/>
        <v>2048</v>
      </c>
      <c r="AD4" s="7">
        <f t="shared" si="0"/>
        <v>2049</v>
      </c>
      <c r="AE4" s="7">
        <f t="shared" si="0"/>
        <v>2050</v>
      </c>
      <c r="AF4" s="7">
        <f t="shared" si="0"/>
        <v>2051</v>
      </c>
      <c r="AG4" s="7">
        <f t="shared" ref="AG4" si="1">$D$4+AF3</f>
        <v>2052</v>
      </c>
    </row>
    <row r="5" spans="2:33">
      <c r="B5" s="3" t="s">
        <v>60</v>
      </c>
      <c r="C5" s="127">
        <f>D5+NPV(Parametre!$C$9,'06 Finančná analýza - nájom'!E5:AG5)</f>
        <v>0</v>
      </c>
      <c r="D5" s="8">
        <f>'01 Investičné výdavky - nájom'!D10</f>
        <v>0</v>
      </c>
      <c r="E5" s="8">
        <f>'01 Investičné výdavky - nájom'!E10</f>
        <v>0</v>
      </c>
      <c r="F5" s="8">
        <f>'01 Investičné výdavky - nájom'!F10</f>
        <v>0</v>
      </c>
      <c r="G5" s="8">
        <f>'01 Investičné výdavky - nájom'!G10</f>
        <v>0</v>
      </c>
      <c r="H5" s="8">
        <f>'01 Investičné výdavky - nájom'!H10</f>
        <v>0</v>
      </c>
      <c r="I5" s="8">
        <f>'01 Investičné výdavky - nájom'!I10</f>
        <v>0</v>
      </c>
      <c r="J5" s="8">
        <f>'01 Investičné výdavky - nájom'!J10</f>
        <v>0</v>
      </c>
      <c r="K5" s="8">
        <f>'01 Investičné výdavky - nájom'!K10</f>
        <v>0</v>
      </c>
      <c r="L5" s="8">
        <f>'01 Investičné výdavky - nájom'!L10</f>
        <v>0</v>
      </c>
      <c r="M5" s="8">
        <f>'01 Investičné výdavky - nájom'!M10</f>
        <v>0</v>
      </c>
      <c r="N5" s="8">
        <f>'01 Investičné výdavky - nájom'!N10</f>
        <v>0</v>
      </c>
      <c r="O5" s="8">
        <f>'01 Investičné výdavky - nájom'!O10</f>
        <v>0</v>
      </c>
      <c r="P5" s="8">
        <f>'01 Investičné výdavky - nájom'!P10</f>
        <v>0</v>
      </c>
      <c r="Q5" s="8">
        <f>'01 Investičné výdavky - nájom'!Q10</f>
        <v>0</v>
      </c>
      <c r="R5" s="8">
        <f>'01 Investičné výdavky - nájom'!R10</f>
        <v>0</v>
      </c>
      <c r="S5" s="8">
        <f>'01 Investičné výdavky - nájom'!S10</f>
        <v>0</v>
      </c>
      <c r="T5" s="8">
        <f>'01 Investičné výdavky - nájom'!T10</f>
        <v>0</v>
      </c>
      <c r="U5" s="8">
        <f>'01 Investičné výdavky - nájom'!U10</f>
        <v>0</v>
      </c>
      <c r="V5" s="8">
        <f>'01 Investičné výdavky - nájom'!V10</f>
        <v>0</v>
      </c>
      <c r="W5" s="8">
        <f>'01 Investičné výdavky - nájom'!W10</f>
        <v>0</v>
      </c>
      <c r="X5" s="8">
        <f>'01 Investičné výdavky - nájom'!X10</f>
        <v>0</v>
      </c>
      <c r="Y5" s="8">
        <f>'01 Investičné výdavky - nájom'!Y10</f>
        <v>0</v>
      </c>
      <c r="Z5" s="8">
        <f>'01 Investičné výdavky - nájom'!Z10</f>
        <v>0</v>
      </c>
      <c r="AA5" s="8">
        <f>'01 Investičné výdavky - nájom'!AA10</f>
        <v>0</v>
      </c>
      <c r="AB5" s="8">
        <f>'01 Investičné výdavky - nájom'!AB10</f>
        <v>0</v>
      </c>
      <c r="AC5" s="8">
        <f>'01 Investičné výdavky - nájom'!AC10</f>
        <v>0</v>
      </c>
      <c r="AD5" s="8">
        <f>'01 Investičné výdavky - nájom'!AD10</f>
        <v>0</v>
      </c>
      <c r="AE5" s="8">
        <f>'01 Investičné výdavky - nájom'!AE10</f>
        <v>0</v>
      </c>
      <c r="AF5" s="8">
        <f>'01 Investičné výdavky - nájom'!AF10</f>
        <v>0</v>
      </c>
      <c r="AG5" s="8">
        <f>'01 Investičné výdavky - nájom'!AG10</f>
        <v>0</v>
      </c>
    </row>
    <row r="6" spans="2:33">
      <c r="B6" s="3" t="s">
        <v>59</v>
      </c>
      <c r="C6" s="127">
        <f>D6+NPV(Parametre!$C$9,'06 Finančná analýza - nájom'!E6:AG6)</f>
        <v>263379075.88619676</v>
      </c>
      <c r="D6" s="8">
        <f>'03 Prevádzkové výdavky prenájom'!D32</f>
        <v>0</v>
      </c>
      <c r="E6" s="8">
        <f>'03 Prevádzkové výdavky prenájom'!E32</f>
        <v>0</v>
      </c>
      <c r="F6" s="8">
        <f>'03 Prevádzkové výdavky prenájom'!F32</f>
        <v>-650040</v>
      </c>
      <c r="G6" s="8">
        <f>'03 Prevádzkové výdavky prenájom'!G32</f>
        <v>-61951480</v>
      </c>
      <c r="H6" s="8">
        <f>'03 Prevádzkové výdavky prenájom'!H32</f>
        <v>-86432310</v>
      </c>
      <c r="I6" s="8">
        <f>'03 Prevádzkové výdavky prenájom'!I32</f>
        <v>-64972959.999999985</v>
      </c>
      <c r="J6" s="8">
        <f>'03 Prevádzkové výdavky prenájom'!J32</f>
        <v>-64972959.999999985</v>
      </c>
      <c r="K6" s="8">
        <f>'03 Prevádzkové výdavky prenájom'!K32</f>
        <v>46527040.000000015</v>
      </c>
      <c r="L6" s="8">
        <f>'03 Prevádzkové výdavky prenájom'!L32</f>
        <v>46527040.000000015</v>
      </c>
      <c r="M6" s="8">
        <f>'03 Prevádzkové výdavky prenájom'!M32</f>
        <v>46527040.000000015</v>
      </c>
      <c r="N6" s="8">
        <f>'03 Prevádzkové výdavky prenájom'!N32</f>
        <v>46527040.000000015</v>
      </c>
      <c r="O6" s="8">
        <f>'03 Prevádzkové výdavky prenájom'!O32</f>
        <v>46527040.000000015</v>
      </c>
      <c r="P6" s="8">
        <f>'03 Prevádzkové výdavky prenájom'!P32</f>
        <v>46527040.000000015</v>
      </c>
      <c r="Q6" s="8">
        <f>'03 Prevádzkové výdavky prenájom'!Q32</f>
        <v>46527040.000000015</v>
      </c>
      <c r="R6" s="8">
        <f>'03 Prevádzkové výdavky prenájom'!R32</f>
        <v>46527040.000000015</v>
      </c>
      <c r="S6" s="8">
        <f>'03 Prevádzkové výdavky prenájom'!S32</f>
        <v>46527040.000000015</v>
      </c>
      <c r="T6" s="8">
        <f>'03 Prevádzkové výdavky prenájom'!T32</f>
        <v>46527040.000000015</v>
      </c>
      <c r="U6" s="8">
        <f>'03 Prevádzkové výdavky prenájom'!U32</f>
        <v>46527040.000000015</v>
      </c>
      <c r="V6" s="8">
        <f>'03 Prevádzkové výdavky prenájom'!V32</f>
        <v>28527040.000000015</v>
      </c>
      <c r="W6" s="8">
        <f>'03 Prevádzkové výdavky prenájom'!W32</f>
        <v>17527040.000000015</v>
      </c>
      <c r="X6" s="8">
        <f>'03 Prevádzkové výdavky prenájom'!X32</f>
        <v>17527040.000000015</v>
      </c>
      <c r="Y6" s="8">
        <f>'03 Prevádzkové výdavky prenájom'!Y32</f>
        <v>17527040.000000015</v>
      </c>
      <c r="Z6" s="8">
        <f>'03 Prevádzkové výdavky prenájom'!Z32</f>
        <v>46527040.000000015</v>
      </c>
      <c r="AA6" s="8">
        <f>'03 Prevádzkové výdavky prenájom'!AA32</f>
        <v>46527040.000000015</v>
      </c>
      <c r="AB6" s="8">
        <f>'03 Prevádzkové výdavky prenájom'!AB32</f>
        <v>46527040.000000015</v>
      </c>
      <c r="AC6" s="8">
        <f>'03 Prevádzkové výdavky prenájom'!AC32</f>
        <v>46527040.000000015</v>
      </c>
      <c r="AD6" s="8">
        <f>'03 Prevádzkové výdavky prenájom'!AD32</f>
        <v>46527040.000000015</v>
      </c>
      <c r="AE6" s="8">
        <f>'03 Prevádzkové výdavky prenájom'!AE32</f>
        <v>46527040.000000015</v>
      </c>
      <c r="AF6" s="8">
        <f>'03 Prevádzkové výdavky prenájom'!AF32</f>
        <v>46527040.000000015</v>
      </c>
      <c r="AG6" s="8">
        <f>'03 Prevádzkové výdavky prenájom'!AG32</f>
        <v>46527040.000000015</v>
      </c>
    </row>
    <row r="7" spans="2:33">
      <c r="B7" s="3" t="s">
        <v>222</v>
      </c>
      <c r="C7" s="127">
        <f>D7+NPV(Parametre!$C$9,'06 Finančná analýza - nájom'!E7:AG7)</f>
        <v>301628118.67788249</v>
      </c>
      <c r="D7" s="8">
        <f>'04 Prevádzkové príjmy - nájom'!D23</f>
        <v>0</v>
      </c>
      <c r="E7" s="8">
        <f>'04 Prevádzkové príjmy - nájom'!E23</f>
        <v>0</v>
      </c>
      <c r="F7" s="8">
        <f>'04 Prevádzkové príjmy - nájom'!F23</f>
        <v>0</v>
      </c>
      <c r="G7" s="8">
        <f>'04 Prevádzkové príjmy - nájom'!G23</f>
        <v>0</v>
      </c>
      <c r="H7" s="8">
        <f>'04 Prevádzkové príjmy - nájom'!H23</f>
        <v>6098199.0814804994</v>
      </c>
      <c r="I7" s="8">
        <f>'04 Prevádzkové príjmy - nájom'!I23</f>
        <v>16669748.157206506</v>
      </c>
      <c r="J7" s="8">
        <f>'04 Prevádzkové príjmy - nájom'!J23</f>
        <v>17503235.565066826</v>
      </c>
      <c r="K7" s="8">
        <f>'04 Prevádzkové príjmy - nájom'!K23</f>
        <v>18378397.343320165</v>
      </c>
      <c r="L7" s="8">
        <f>'04 Prevádzkové príjmy - nájom'!L23</f>
        <v>19297317.210486174</v>
      </c>
      <c r="M7" s="8">
        <f>'04 Prevádzkové príjmy - nájom'!M23</f>
        <v>19683263.554695897</v>
      </c>
      <c r="N7" s="8">
        <f>'04 Prevádzkové príjmy - nájom'!N23</f>
        <v>20076928.825789817</v>
      </c>
      <c r="O7" s="8">
        <f>'04 Prevádzkové príjmy - nájom'!O23</f>
        <v>20478467.402305614</v>
      </c>
      <c r="P7" s="8">
        <f>'04 Prevádzkové príjmy - nájom'!P23</f>
        <v>20888036.750351734</v>
      </c>
      <c r="Q7" s="8">
        <f>'04 Prevádzkové príjmy - nájom'!Q23</f>
        <v>21305797.485358775</v>
      </c>
      <c r="R7" s="8">
        <f>'04 Prevádzkové príjmy - nájom'!R23</f>
        <v>21731913.435065947</v>
      </c>
      <c r="S7" s="8">
        <f>'04 Prevádzkové príjmy - nájom'!S23</f>
        <v>22166551.70376727</v>
      </c>
      <c r="T7" s="8">
        <f>'04 Prevádzkové príjmy - nájom'!T23</f>
        <v>22609882.737842619</v>
      </c>
      <c r="U7" s="8">
        <f>'04 Prevádzkové príjmy - nájom'!U23</f>
        <v>23062080.392599471</v>
      </c>
      <c r="V7" s="8">
        <f>'04 Prevádzkové príjmy - nájom'!V23</f>
        <v>23523322.00045146</v>
      </c>
      <c r="W7" s="8">
        <f>'04 Prevádzkové príjmy - nájom'!W23</f>
        <v>23993788.440460488</v>
      </c>
      <c r="X7" s="8">
        <f>'04 Prevádzkové príjmy - nájom'!X23</f>
        <v>24473664.209269702</v>
      </c>
      <c r="Y7" s="8">
        <f>'04 Prevádzkové príjmy - nájom'!Y23</f>
        <v>24963137.493455097</v>
      </c>
      <c r="Z7" s="8">
        <f>'04 Prevádzkové príjmy - nájom'!Z23</f>
        <v>25462400.24332419</v>
      </c>
      <c r="AA7" s="8">
        <f>'04 Prevádzkové príjmy - nájom'!AA23</f>
        <v>25971648.248190679</v>
      </c>
      <c r="AB7" s="8">
        <f>'04 Prevádzkové príjmy - nájom'!AB23</f>
        <v>26491081.213154502</v>
      </c>
      <c r="AC7" s="8">
        <f>'04 Prevádzkové príjmy - nájom'!AC23</f>
        <v>27020902.837417595</v>
      </c>
      <c r="AD7" s="8">
        <f>'04 Prevádzkové príjmy - nájom'!AD23</f>
        <v>27561320.894165933</v>
      </c>
      <c r="AE7" s="8">
        <f>'04 Prevádzkové príjmy - nájom'!AE23</f>
        <v>28112547.312049262</v>
      </c>
      <c r="AF7" s="8">
        <f>'04 Prevádzkové príjmy - nájom'!AF23</f>
        <v>28674798.258290239</v>
      </c>
      <c r="AG7" s="8">
        <f>'04 Prevádzkové príjmy - nájom'!AG23</f>
        <v>29248294.223456047</v>
      </c>
    </row>
    <row r="8" spans="2:33" ht="12" thickBot="1">
      <c r="B8" s="22" t="s">
        <v>15</v>
      </c>
      <c r="C8" s="328">
        <f>D8+NPV(Parametre!$C$9,'06 Finančná analýza - nájom'!E8:AG8)</f>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c r="X8" s="23">
        <v>0</v>
      </c>
      <c r="Y8" s="23">
        <v>0</v>
      </c>
      <c r="Z8" s="23">
        <v>0</v>
      </c>
      <c r="AA8" s="23">
        <v>0</v>
      </c>
      <c r="AB8" s="23">
        <v>0</v>
      </c>
      <c r="AC8" s="23">
        <v>0</v>
      </c>
      <c r="AD8" s="23">
        <v>0</v>
      </c>
      <c r="AE8" s="23">
        <v>0</v>
      </c>
      <c r="AF8" s="23">
        <v>0</v>
      </c>
      <c r="AG8" s="23">
        <f>'02 Zostatková hodnota - nájom'!C12</f>
        <v>0</v>
      </c>
    </row>
    <row r="9" spans="2:33" ht="12" thickTop="1">
      <c r="B9" s="18" t="s">
        <v>38</v>
      </c>
      <c r="C9" s="329">
        <f>D9+NPV(Parametre!$C$9,'06 Finančná analýza - nájom'!E9:AG9)</f>
        <v>38249042.791685715</v>
      </c>
      <c r="D9" s="19">
        <f>-D5-D6+D7+D8</f>
        <v>0</v>
      </c>
      <c r="E9" s="19">
        <f t="shared" ref="E9:AG9" si="2">-E5-E6+E7+E8</f>
        <v>0</v>
      </c>
      <c r="F9" s="19">
        <f t="shared" si="2"/>
        <v>650040</v>
      </c>
      <c r="G9" s="19">
        <f t="shared" si="2"/>
        <v>61951480</v>
      </c>
      <c r="H9" s="19">
        <f t="shared" si="2"/>
        <v>92530509.081480503</v>
      </c>
      <c r="I9" s="19">
        <f t="shared" si="2"/>
        <v>81642708.157206491</v>
      </c>
      <c r="J9" s="19">
        <f t="shared" si="2"/>
        <v>82476195.565066814</v>
      </c>
      <c r="K9" s="19">
        <f t="shared" si="2"/>
        <v>-28148642.65667985</v>
      </c>
      <c r="L9" s="19">
        <f t="shared" si="2"/>
        <v>-27229722.789513841</v>
      </c>
      <c r="M9" s="19">
        <f t="shared" si="2"/>
        <v>-26843776.445304118</v>
      </c>
      <c r="N9" s="19">
        <f t="shared" si="2"/>
        <v>-26450111.174210198</v>
      </c>
      <c r="O9" s="19">
        <f t="shared" si="2"/>
        <v>-26048572.597694401</v>
      </c>
      <c r="P9" s="19">
        <f t="shared" si="2"/>
        <v>-25639003.24964828</v>
      </c>
      <c r="Q9" s="19">
        <f t="shared" si="2"/>
        <v>-25221242.51464124</v>
      </c>
      <c r="R9" s="19">
        <f t="shared" si="2"/>
        <v>-24795126.564934067</v>
      </c>
      <c r="S9" s="19">
        <f t="shared" si="2"/>
        <v>-24360488.296232745</v>
      </c>
      <c r="T9" s="19">
        <f t="shared" si="2"/>
        <v>-23917157.262157395</v>
      </c>
      <c r="U9" s="19">
        <f t="shared" si="2"/>
        <v>-23464959.607400544</v>
      </c>
      <c r="V9" s="19">
        <f t="shared" si="2"/>
        <v>-5003717.9995485544</v>
      </c>
      <c r="W9" s="19">
        <f t="shared" si="2"/>
        <v>6466748.4404604733</v>
      </c>
      <c r="X9" s="19">
        <f t="shared" si="2"/>
        <v>6946624.2092696875</v>
      </c>
      <c r="Y9" s="19">
        <f t="shared" si="2"/>
        <v>7436097.4934550822</v>
      </c>
      <c r="Z9" s="19">
        <f t="shared" si="2"/>
        <v>-21064639.756675825</v>
      </c>
      <c r="AA9" s="19">
        <f t="shared" si="2"/>
        <v>-20555391.751809336</v>
      </c>
      <c r="AB9" s="19">
        <f t="shared" si="2"/>
        <v>-20035958.786845513</v>
      </c>
      <c r="AC9" s="19">
        <f t="shared" si="2"/>
        <v>-19506137.16258242</v>
      </c>
      <c r="AD9" s="19">
        <f t="shared" si="2"/>
        <v>-18965719.105834082</v>
      </c>
      <c r="AE9" s="19">
        <f t="shared" si="2"/>
        <v>-18414492.687950753</v>
      </c>
      <c r="AF9" s="19">
        <f t="shared" si="2"/>
        <v>-17852241.741709776</v>
      </c>
      <c r="AG9" s="19">
        <f t="shared" si="2"/>
        <v>-17278745.776543967</v>
      </c>
    </row>
    <row r="11" spans="2:33">
      <c r="B11" s="21" t="s">
        <v>17</v>
      </c>
      <c r="C11" s="200">
        <f>D9+NPV(Parametre!$C$9,E9:AG9)</f>
        <v>38249042.791685715</v>
      </c>
      <c r="D11" s="2" t="s">
        <v>0</v>
      </c>
      <c r="E11" s="20"/>
    </row>
    <row r="12" spans="2:33">
      <c r="B12" s="21" t="s">
        <v>18</v>
      </c>
      <c r="C12" s="201">
        <f>IRR(D9:AG9,1)</f>
        <v>2.461114261277153E-2</v>
      </c>
    </row>
    <row r="15" spans="2:33">
      <c r="B15" s="12" t="s">
        <v>22</v>
      </c>
      <c r="C15" s="12"/>
      <c r="D15" s="3" t="s">
        <v>10</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2:33">
      <c r="B16" s="4"/>
      <c r="C16" s="15" t="s">
        <v>9</v>
      </c>
      <c r="D16" s="5">
        <v>1</v>
      </c>
      <c r="E16" s="5">
        <v>2</v>
      </c>
      <c r="F16" s="5">
        <v>3</v>
      </c>
      <c r="G16" s="5">
        <v>4</v>
      </c>
      <c r="H16" s="5">
        <v>5</v>
      </c>
      <c r="I16" s="5">
        <v>6</v>
      </c>
      <c r="J16" s="5">
        <v>7</v>
      </c>
      <c r="K16" s="5">
        <v>8</v>
      </c>
      <c r="L16" s="5">
        <v>9</v>
      </c>
      <c r="M16" s="5">
        <v>10</v>
      </c>
      <c r="N16" s="5">
        <v>11</v>
      </c>
      <c r="O16" s="5">
        <v>12</v>
      </c>
      <c r="P16" s="5">
        <v>13</v>
      </c>
      <c r="Q16" s="5">
        <v>14</v>
      </c>
      <c r="R16" s="5">
        <v>15</v>
      </c>
      <c r="S16" s="5">
        <v>16</v>
      </c>
      <c r="T16" s="5">
        <v>17</v>
      </c>
      <c r="U16" s="5">
        <v>18</v>
      </c>
      <c r="V16" s="5">
        <v>19</v>
      </c>
      <c r="W16" s="5">
        <v>20</v>
      </c>
      <c r="X16" s="5">
        <v>21</v>
      </c>
      <c r="Y16" s="5">
        <v>22</v>
      </c>
      <c r="Z16" s="5">
        <v>23</v>
      </c>
      <c r="AA16" s="5">
        <v>24</v>
      </c>
      <c r="AB16" s="5">
        <v>25</v>
      </c>
      <c r="AC16" s="5">
        <v>26</v>
      </c>
      <c r="AD16" s="5">
        <v>27</v>
      </c>
      <c r="AE16" s="5">
        <v>28</v>
      </c>
      <c r="AF16" s="5">
        <v>29</v>
      </c>
      <c r="AG16" s="5">
        <v>30</v>
      </c>
    </row>
    <row r="17" spans="2:33">
      <c r="B17" s="6" t="s">
        <v>37</v>
      </c>
      <c r="C17" s="124" t="s">
        <v>232</v>
      </c>
      <c r="D17" s="7">
        <f>D4</f>
        <v>2023</v>
      </c>
      <c r="E17" s="7">
        <f>E4</f>
        <v>2024</v>
      </c>
      <c r="F17" s="7">
        <f>F4</f>
        <v>2025</v>
      </c>
      <c r="G17" s="7">
        <f t="shared" ref="G17:AF17" si="3">G4</f>
        <v>2026</v>
      </c>
      <c r="H17" s="7">
        <f t="shared" si="3"/>
        <v>2027</v>
      </c>
      <c r="I17" s="7">
        <f t="shared" si="3"/>
        <v>2028</v>
      </c>
      <c r="J17" s="7">
        <f t="shared" si="3"/>
        <v>2029</v>
      </c>
      <c r="K17" s="7">
        <f t="shared" si="3"/>
        <v>2030</v>
      </c>
      <c r="L17" s="7">
        <f t="shared" si="3"/>
        <v>2031</v>
      </c>
      <c r="M17" s="7">
        <f t="shared" si="3"/>
        <v>2032</v>
      </c>
      <c r="N17" s="7">
        <f t="shared" si="3"/>
        <v>2033</v>
      </c>
      <c r="O17" s="7">
        <f t="shared" si="3"/>
        <v>2034</v>
      </c>
      <c r="P17" s="7">
        <f t="shared" si="3"/>
        <v>2035</v>
      </c>
      <c r="Q17" s="7">
        <f t="shared" si="3"/>
        <v>2036</v>
      </c>
      <c r="R17" s="7">
        <f t="shared" si="3"/>
        <v>2037</v>
      </c>
      <c r="S17" s="7">
        <f t="shared" si="3"/>
        <v>2038</v>
      </c>
      <c r="T17" s="7">
        <f t="shared" si="3"/>
        <v>2039</v>
      </c>
      <c r="U17" s="7">
        <f t="shared" si="3"/>
        <v>2040</v>
      </c>
      <c r="V17" s="7">
        <f t="shared" si="3"/>
        <v>2041</v>
      </c>
      <c r="W17" s="7">
        <f t="shared" si="3"/>
        <v>2042</v>
      </c>
      <c r="X17" s="7">
        <f t="shared" si="3"/>
        <v>2043</v>
      </c>
      <c r="Y17" s="7">
        <f t="shared" si="3"/>
        <v>2044</v>
      </c>
      <c r="Z17" s="7">
        <f t="shared" si="3"/>
        <v>2045</v>
      </c>
      <c r="AA17" s="7">
        <f t="shared" si="3"/>
        <v>2046</v>
      </c>
      <c r="AB17" s="7">
        <f t="shared" si="3"/>
        <v>2047</v>
      </c>
      <c r="AC17" s="7">
        <f t="shared" si="3"/>
        <v>2048</v>
      </c>
      <c r="AD17" s="7">
        <f t="shared" si="3"/>
        <v>2049</v>
      </c>
      <c r="AE17" s="7">
        <f t="shared" si="3"/>
        <v>2050</v>
      </c>
      <c r="AF17" s="7">
        <f t="shared" si="3"/>
        <v>2051</v>
      </c>
      <c r="AG17" s="7">
        <f t="shared" ref="AG17" si="4">AG4</f>
        <v>2052</v>
      </c>
    </row>
    <row r="18" spans="2:33">
      <c r="B18" s="3" t="s">
        <v>233</v>
      </c>
      <c r="C18" s="194">
        <f>D18+NPV(Parametre!$C$9,'06 Finančná analýza - nájom'!E18:AG18)</f>
        <v>0</v>
      </c>
      <c r="D18" s="180">
        <f>'05 Financovanie - nájom'!D22</f>
        <v>0</v>
      </c>
      <c r="E18" s="180">
        <f>'05 Financovanie - nájom'!E22</f>
        <v>0</v>
      </c>
      <c r="F18" s="180">
        <f>'05 Financovanie - nájom'!F22</f>
        <v>0</v>
      </c>
      <c r="G18" s="180">
        <f>'05 Financovanie - nájom'!G22</f>
        <v>0</v>
      </c>
      <c r="H18" s="180">
        <f>'05 Financovanie - nájom'!H22</f>
        <v>0</v>
      </c>
      <c r="I18" s="180">
        <f>'05 Financovanie - nájom'!I22</f>
        <v>0</v>
      </c>
      <c r="J18" s="180">
        <f>'05 Financovanie - nájom'!J22</f>
        <v>0</v>
      </c>
      <c r="K18" s="180">
        <f>'05 Financovanie - nájom'!K22</f>
        <v>0</v>
      </c>
      <c r="L18" s="180">
        <f>'05 Financovanie - nájom'!L22</f>
        <v>0</v>
      </c>
      <c r="M18" s="180">
        <f>'05 Financovanie - nájom'!M22</f>
        <v>0</v>
      </c>
      <c r="N18" s="180">
        <f>'05 Financovanie - nájom'!N22</f>
        <v>0</v>
      </c>
      <c r="O18" s="180">
        <f>'05 Financovanie - nájom'!O22</f>
        <v>0</v>
      </c>
      <c r="P18" s="180">
        <f>'05 Financovanie - nájom'!P22</f>
        <v>0</v>
      </c>
      <c r="Q18" s="180">
        <f>'05 Financovanie - nájom'!Q22</f>
        <v>0</v>
      </c>
      <c r="R18" s="180">
        <f>'05 Financovanie - nájom'!R22</f>
        <v>0</v>
      </c>
      <c r="S18" s="180">
        <f>'05 Financovanie - nájom'!S22</f>
        <v>0</v>
      </c>
      <c r="T18" s="180">
        <f>'05 Financovanie - nájom'!T22</f>
        <v>0</v>
      </c>
      <c r="U18" s="180">
        <f>'05 Financovanie - nájom'!U22</f>
        <v>0</v>
      </c>
      <c r="V18" s="180">
        <f>'05 Financovanie - nájom'!V22</f>
        <v>0</v>
      </c>
      <c r="W18" s="180">
        <f>'05 Financovanie - nájom'!W22</f>
        <v>0</v>
      </c>
      <c r="X18" s="180">
        <f>'05 Financovanie - nájom'!X22</f>
        <v>0</v>
      </c>
      <c r="Y18" s="180">
        <f>'05 Financovanie - nájom'!Y22</f>
        <v>0</v>
      </c>
      <c r="Z18" s="180">
        <f>'05 Financovanie - nájom'!Z22</f>
        <v>0</v>
      </c>
      <c r="AA18" s="180">
        <f>'05 Financovanie - nájom'!AA22</f>
        <v>0</v>
      </c>
      <c r="AB18" s="180">
        <f>'05 Financovanie - nájom'!AB22</f>
        <v>0</v>
      </c>
      <c r="AC18" s="180">
        <f>'05 Financovanie - nájom'!AC22</f>
        <v>0</v>
      </c>
      <c r="AD18" s="180">
        <f>'05 Financovanie - nájom'!AD22</f>
        <v>0</v>
      </c>
      <c r="AE18" s="180">
        <f>'05 Financovanie - nájom'!AE22</f>
        <v>0</v>
      </c>
      <c r="AF18" s="180">
        <f>'05 Financovanie - nájom'!AF22</f>
        <v>0</v>
      </c>
      <c r="AG18" s="180">
        <f>'05 Financovanie - nájom'!AG22</f>
        <v>0</v>
      </c>
    </row>
    <row r="19" spans="2:33">
      <c r="B19" s="3" t="s">
        <v>59</v>
      </c>
      <c r="C19" s="194">
        <f>D19+NPV(Parametre!$C$9,'06 Finančná analýza - nájom'!E19:AG19)</f>
        <v>263379075.88619676</v>
      </c>
      <c r="D19" s="180">
        <f>'03 Prevádzkové výdavky prenájom'!D32</f>
        <v>0</v>
      </c>
      <c r="E19" s="180">
        <f>'03 Prevádzkové výdavky prenájom'!E32</f>
        <v>0</v>
      </c>
      <c r="F19" s="180">
        <f>'03 Prevádzkové výdavky prenájom'!F32</f>
        <v>-650040</v>
      </c>
      <c r="G19" s="180">
        <f>'03 Prevádzkové výdavky prenájom'!G32</f>
        <v>-61951480</v>
      </c>
      <c r="H19" s="180">
        <f>'03 Prevádzkové výdavky prenájom'!H32</f>
        <v>-86432310</v>
      </c>
      <c r="I19" s="180">
        <f>'03 Prevádzkové výdavky prenájom'!I32</f>
        <v>-64972959.999999985</v>
      </c>
      <c r="J19" s="180">
        <f>'03 Prevádzkové výdavky prenájom'!J32</f>
        <v>-64972959.999999985</v>
      </c>
      <c r="K19" s="180">
        <f>'03 Prevádzkové výdavky prenájom'!K32</f>
        <v>46527040.000000015</v>
      </c>
      <c r="L19" s="180">
        <f>'03 Prevádzkové výdavky prenájom'!L32</f>
        <v>46527040.000000015</v>
      </c>
      <c r="M19" s="180">
        <f>'03 Prevádzkové výdavky prenájom'!M32</f>
        <v>46527040.000000015</v>
      </c>
      <c r="N19" s="180">
        <f>'03 Prevádzkové výdavky prenájom'!N32</f>
        <v>46527040.000000015</v>
      </c>
      <c r="O19" s="180">
        <f>'03 Prevádzkové výdavky prenájom'!O32</f>
        <v>46527040.000000015</v>
      </c>
      <c r="P19" s="180">
        <f>'03 Prevádzkové výdavky prenájom'!P32</f>
        <v>46527040.000000015</v>
      </c>
      <c r="Q19" s="180">
        <f>'03 Prevádzkové výdavky prenájom'!Q32</f>
        <v>46527040.000000015</v>
      </c>
      <c r="R19" s="180">
        <f>'03 Prevádzkové výdavky prenájom'!R32</f>
        <v>46527040.000000015</v>
      </c>
      <c r="S19" s="180">
        <f>'03 Prevádzkové výdavky prenájom'!S32</f>
        <v>46527040.000000015</v>
      </c>
      <c r="T19" s="180">
        <f>'03 Prevádzkové výdavky prenájom'!T32</f>
        <v>46527040.000000015</v>
      </c>
      <c r="U19" s="180">
        <f>'03 Prevádzkové výdavky prenájom'!U32</f>
        <v>46527040.000000015</v>
      </c>
      <c r="V19" s="180">
        <f>'03 Prevádzkové výdavky prenájom'!V32</f>
        <v>28527040.000000015</v>
      </c>
      <c r="W19" s="180">
        <f>'03 Prevádzkové výdavky prenájom'!W32</f>
        <v>17527040.000000015</v>
      </c>
      <c r="X19" s="180">
        <f>'03 Prevádzkové výdavky prenájom'!X32</f>
        <v>17527040.000000015</v>
      </c>
      <c r="Y19" s="180">
        <f>'03 Prevádzkové výdavky prenájom'!Y32</f>
        <v>17527040.000000015</v>
      </c>
      <c r="Z19" s="180">
        <f>'03 Prevádzkové výdavky prenájom'!Z32</f>
        <v>46527040.000000015</v>
      </c>
      <c r="AA19" s="180">
        <f>'03 Prevádzkové výdavky prenájom'!AA32</f>
        <v>46527040.000000015</v>
      </c>
      <c r="AB19" s="180">
        <f>'03 Prevádzkové výdavky prenájom'!AB32</f>
        <v>46527040.000000015</v>
      </c>
      <c r="AC19" s="180">
        <f>'03 Prevádzkové výdavky prenájom'!AC32</f>
        <v>46527040.000000015</v>
      </c>
      <c r="AD19" s="180">
        <f>'03 Prevádzkové výdavky prenájom'!AD32</f>
        <v>46527040.000000015</v>
      </c>
      <c r="AE19" s="180">
        <f>'03 Prevádzkové výdavky prenájom'!AE32</f>
        <v>46527040.000000015</v>
      </c>
      <c r="AF19" s="180">
        <f>'03 Prevádzkové výdavky prenájom'!AF32</f>
        <v>46527040.000000015</v>
      </c>
      <c r="AG19" s="180">
        <f>'03 Prevádzkové výdavky prenájom'!AG32</f>
        <v>46527040.000000015</v>
      </c>
    </row>
    <row r="20" spans="2:33">
      <c r="B20" s="3" t="s">
        <v>245</v>
      </c>
      <c r="C20" s="194">
        <f>D20+NPV(Parametre!$C$9,'06 Finančná analýza - nájom'!E20:AG20)</f>
        <v>0</v>
      </c>
      <c r="D20" s="182">
        <v>0</v>
      </c>
      <c r="E20" s="182">
        <v>0</v>
      </c>
      <c r="F20" s="182">
        <v>0</v>
      </c>
      <c r="G20" s="182">
        <v>0</v>
      </c>
      <c r="H20" s="182">
        <v>0</v>
      </c>
      <c r="I20" s="182">
        <v>0</v>
      </c>
      <c r="J20" s="182">
        <v>0</v>
      </c>
      <c r="K20" s="182">
        <v>0</v>
      </c>
      <c r="L20" s="182">
        <v>0</v>
      </c>
      <c r="M20" s="182">
        <v>0</v>
      </c>
      <c r="N20" s="182">
        <v>0</v>
      </c>
      <c r="O20" s="182">
        <v>0</v>
      </c>
      <c r="P20" s="182">
        <v>0</v>
      </c>
      <c r="Q20" s="182">
        <v>0</v>
      </c>
      <c r="R20" s="182">
        <v>0</v>
      </c>
      <c r="S20" s="182">
        <v>0</v>
      </c>
      <c r="T20" s="182">
        <v>0</v>
      </c>
      <c r="U20" s="182">
        <v>0</v>
      </c>
      <c r="V20" s="182">
        <v>0</v>
      </c>
      <c r="W20" s="182">
        <v>0</v>
      </c>
      <c r="X20" s="182">
        <v>0</v>
      </c>
      <c r="Y20" s="182">
        <v>0</v>
      </c>
      <c r="Z20" s="182">
        <v>0</v>
      </c>
      <c r="AA20" s="182">
        <v>0</v>
      </c>
      <c r="AB20" s="182">
        <v>0</v>
      </c>
      <c r="AC20" s="182">
        <v>0</v>
      </c>
      <c r="AD20" s="182">
        <v>0</v>
      </c>
      <c r="AE20" s="182">
        <v>0</v>
      </c>
      <c r="AF20" s="182">
        <v>0</v>
      </c>
      <c r="AG20" s="182">
        <v>0</v>
      </c>
    </row>
    <row r="21" spans="2:33">
      <c r="B21" s="3" t="s">
        <v>12</v>
      </c>
      <c r="C21" s="194">
        <f>D21+NPV(Parametre!$C$9,'06 Finančná analýza - nájom'!E21:AG21)</f>
        <v>301628118.67788249</v>
      </c>
      <c r="D21" s="198">
        <f>'04 Prevádzkové príjmy - nájom'!D23</f>
        <v>0</v>
      </c>
      <c r="E21" s="198">
        <f>'04 Prevádzkové príjmy - nájom'!E23</f>
        <v>0</v>
      </c>
      <c r="F21" s="198">
        <f>'04 Prevádzkové príjmy - nájom'!F23</f>
        <v>0</v>
      </c>
      <c r="G21" s="198">
        <f>'04 Prevádzkové príjmy - nájom'!G23</f>
        <v>0</v>
      </c>
      <c r="H21" s="198">
        <f>'04 Prevádzkové príjmy - nájom'!H23</f>
        <v>6098199.0814804994</v>
      </c>
      <c r="I21" s="198">
        <f>'04 Prevádzkové príjmy - nájom'!I23</f>
        <v>16669748.157206506</v>
      </c>
      <c r="J21" s="198">
        <f>'04 Prevádzkové príjmy - nájom'!J23</f>
        <v>17503235.565066826</v>
      </c>
      <c r="K21" s="198">
        <f>'04 Prevádzkové príjmy - nájom'!K23</f>
        <v>18378397.343320165</v>
      </c>
      <c r="L21" s="198">
        <f>'04 Prevádzkové príjmy - nájom'!L23</f>
        <v>19297317.210486174</v>
      </c>
      <c r="M21" s="198">
        <f>'04 Prevádzkové príjmy - nájom'!M23</f>
        <v>19683263.554695897</v>
      </c>
      <c r="N21" s="198">
        <f>'04 Prevádzkové príjmy - nájom'!N23</f>
        <v>20076928.825789817</v>
      </c>
      <c r="O21" s="198">
        <f>'04 Prevádzkové príjmy - nájom'!O23</f>
        <v>20478467.402305614</v>
      </c>
      <c r="P21" s="198">
        <f>'04 Prevádzkové príjmy - nájom'!P23</f>
        <v>20888036.750351734</v>
      </c>
      <c r="Q21" s="198">
        <f>'04 Prevádzkové príjmy - nájom'!Q23</f>
        <v>21305797.485358775</v>
      </c>
      <c r="R21" s="198">
        <f>'04 Prevádzkové príjmy - nájom'!R23</f>
        <v>21731913.435065947</v>
      </c>
      <c r="S21" s="198">
        <f>'04 Prevádzkové príjmy - nájom'!S23</f>
        <v>22166551.70376727</v>
      </c>
      <c r="T21" s="198">
        <f>'04 Prevádzkové príjmy - nájom'!T23</f>
        <v>22609882.737842619</v>
      </c>
      <c r="U21" s="198">
        <f>'04 Prevádzkové príjmy - nájom'!U23</f>
        <v>23062080.392599471</v>
      </c>
      <c r="V21" s="198">
        <f>'04 Prevádzkové príjmy - nájom'!V23</f>
        <v>23523322.00045146</v>
      </c>
      <c r="W21" s="198">
        <f>'04 Prevádzkové príjmy - nájom'!W23</f>
        <v>23993788.440460488</v>
      </c>
      <c r="X21" s="198">
        <f>'04 Prevádzkové príjmy - nájom'!X23</f>
        <v>24473664.209269702</v>
      </c>
      <c r="Y21" s="198">
        <f>'04 Prevádzkové príjmy - nájom'!Y23</f>
        <v>24963137.493455097</v>
      </c>
      <c r="Z21" s="198">
        <f>'04 Prevádzkové príjmy - nájom'!Z23</f>
        <v>25462400.24332419</v>
      </c>
      <c r="AA21" s="198">
        <f>'04 Prevádzkové príjmy - nájom'!AA23</f>
        <v>25971648.248190679</v>
      </c>
      <c r="AB21" s="198">
        <f>'04 Prevádzkové príjmy - nájom'!AB23</f>
        <v>26491081.213154502</v>
      </c>
      <c r="AC21" s="198">
        <f>'04 Prevádzkové príjmy - nájom'!AC23</f>
        <v>27020902.837417595</v>
      </c>
      <c r="AD21" s="198">
        <f>'04 Prevádzkové príjmy - nájom'!AD23</f>
        <v>27561320.894165933</v>
      </c>
      <c r="AE21" s="198">
        <f>'04 Prevádzkové príjmy - nájom'!AE23</f>
        <v>28112547.312049262</v>
      </c>
      <c r="AF21" s="198">
        <f>'04 Prevádzkové príjmy - nájom'!AF23</f>
        <v>28674798.258290239</v>
      </c>
      <c r="AG21" s="198">
        <f>'04 Prevádzkové príjmy - nájom'!AG23</f>
        <v>29248294.223456047</v>
      </c>
    </row>
    <row r="22" spans="2:33" ht="12" thickBot="1">
      <c r="B22" s="22" t="s">
        <v>15</v>
      </c>
      <c r="C22" s="330">
        <f>D22+NPV(Parametre!$C$9,'06 Finančná analýza - nájom'!E22:AG22)</f>
        <v>0</v>
      </c>
      <c r="D22" s="195">
        <v>0</v>
      </c>
      <c r="E22" s="195">
        <v>0</v>
      </c>
      <c r="F22" s="195">
        <v>0</v>
      </c>
      <c r="G22" s="195">
        <v>0</v>
      </c>
      <c r="H22" s="195">
        <v>0</v>
      </c>
      <c r="I22" s="195">
        <v>0</v>
      </c>
      <c r="J22" s="195">
        <v>0</v>
      </c>
      <c r="K22" s="195">
        <v>0</v>
      </c>
      <c r="L22" s="195">
        <v>0</v>
      </c>
      <c r="M22" s="195">
        <v>0</v>
      </c>
      <c r="N22" s="195">
        <v>0</v>
      </c>
      <c r="O22" s="195">
        <v>0</v>
      </c>
      <c r="P22" s="195">
        <v>0</v>
      </c>
      <c r="Q22" s="195">
        <v>0</v>
      </c>
      <c r="R22" s="195">
        <v>0</v>
      </c>
      <c r="S22" s="195">
        <v>0</v>
      </c>
      <c r="T22" s="195">
        <v>0</v>
      </c>
      <c r="U22" s="195">
        <v>0</v>
      </c>
      <c r="V22" s="195">
        <v>0</v>
      </c>
      <c r="W22" s="195">
        <v>0</v>
      </c>
      <c r="X22" s="195">
        <v>0</v>
      </c>
      <c r="Y22" s="195">
        <v>0</v>
      </c>
      <c r="Z22" s="195">
        <v>0</v>
      </c>
      <c r="AA22" s="195">
        <v>0</v>
      </c>
      <c r="AB22" s="195">
        <v>0</v>
      </c>
      <c r="AC22" s="195">
        <v>0</v>
      </c>
      <c r="AD22" s="195">
        <v>0</v>
      </c>
      <c r="AE22" s="195">
        <v>0</v>
      </c>
      <c r="AF22" s="195">
        <v>0</v>
      </c>
      <c r="AG22" s="195">
        <f>AG8</f>
        <v>0</v>
      </c>
    </row>
    <row r="23" spans="2:33" ht="12" thickTop="1">
      <c r="B23" s="18" t="s">
        <v>38</v>
      </c>
      <c r="C23" s="331">
        <f>D23+NPV(Parametre!$C$9,'06 Finančná analýza - nájom'!E23:AG23)</f>
        <v>38249042.791685715</v>
      </c>
      <c r="D23" s="193">
        <f>-D18-D19-D20+D21+D22</f>
        <v>0</v>
      </c>
      <c r="E23" s="193">
        <f t="shared" ref="E23:AG23" si="5">-E18-E19-E20+E21+E22</f>
        <v>0</v>
      </c>
      <c r="F23" s="193">
        <f t="shared" si="5"/>
        <v>650040</v>
      </c>
      <c r="G23" s="193">
        <f t="shared" si="5"/>
        <v>61951480</v>
      </c>
      <c r="H23" s="193">
        <f t="shared" si="5"/>
        <v>92530509.081480503</v>
      </c>
      <c r="I23" s="193">
        <f t="shared" si="5"/>
        <v>81642708.157206491</v>
      </c>
      <c r="J23" s="193">
        <f t="shared" si="5"/>
        <v>82476195.565066814</v>
      </c>
      <c r="K23" s="193">
        <f t="shared" si="5"/>
        <v>-28148642.65667985</v>
      </c>
      <c r="L23" s="193">
        <f t="shared" si="5"/>
        <v>-27229722.789513841</v>
      </c>
      <c r="M23" s="193">
        <f t="shared" si="5"/>
        <v>-26843776.445304118</v>
      </c>
      <c r="N23" s="193">
        <f t="shared" si="5"/>
        <v>-26450111.174210198</v>
      </c>
      <c r="O23" s="193">
        <f t="shared" si="5"/>
        <v>-26048572.597694401</v>
      </c>
      <c r="P23" s="193">
        <f t="shared" si="5"/>
        <v>-25639003.24964828</v>
      </c>
      <c r="Q23" s="193">
        <f t="shared" si="5"/>
        <v>-25221242.51464124</v>
      </c>
      <c r="R23" s="193">
        <f t="shared" si="5"/>
        <v>-24795126.564934067</v>
      </c>
      <c r="S23" s="193">
        <f t="shared" si="5"/>
        <v>-24360488.296232745</v>
      </c>
      <c r="T23" s="193">
        <f t="shared" si="5"/>
        <v>-23917157.262157395</v>
      </c>
      <c r="U23" s="193">
        <f t="shared" si="5"/>
        <v>-23464959.607400544</v>
      </c>
      <c r="V23" s="193">
        <f t="shared" si="5"/>
        <v>-5003717.9995485544</v>
      </c>
      <c r="W23" s="193">
        <f t="shared" si="5"/>
        <v>6466748.4404604733</v>
      </c>
      <c r="X23" s="193">
        <f t="shared" si="5"/>
        <v>6946624.2092696875</v>
      </c>
      <c r="Y23" s="193">
        <f t="shared" si="5"/>
        <v>7436097.4934550822</v>
      </c>
      <c r="Z23" s="193">
        <f t="shared" si="5"/>
        <v>-21064639.756675825</v>
      </c>
      <c r="AA23" s="193">
        <f t="shared" si="5"/>
        <v>-20555391.751809336</v>
      </c>
      <c r="AB23" s="193">
        <f t="shared" si="5"/>
        <v>-20035958.786845513</v>
      </c>
      <c r="AC23" s="193">
        <f t="shared" si="5"/>
        <v>-19506137.16258242</v>
      </c>
      <c r="AD23" s="193">
        <f t="shared" si="5"/>
        <v>-18965719.105834082</v>
      </c>
      <c r="AE23" s="193">
        <f t="shared" si="5"/>
        <v>-18414492.687950753</v>
      </c>
      <c r="AF23" s="193">
        <f t="shared" si="5"/>
        <v>-17852241.741709776</v>
      </c>
      <c r="AG23" s="193">
        <f t="shared" si="5"/>
        <v>-17278745.776543967</v>
      </c>
    </row>
    <row r="25" spans="2:33">
      <c r="B25" s="21" t="s">
        <v>19</v>
      </c>
      <c r="C25" s="200">
        <f>D23+NPV(Parametre!$C$9,E23:AG23)</f>
        <v>38249042.791685715</v>
      </c>
      <c r="D25" s="20" t="s">
        <v>0</v>
      </c>
    </row>
    <row r="26" spans="2:33">
      <c r="B26" s="21" t="s">
        <v>20</v>
      </c>
      <c r="C26" s="201">
        <f>IRR(D23:AG23,1)</f>
        <v>2.461114261277153E-2</v>
      </c>
    </row>
    <row r="27" spans="2:33">
      <c r="D27" s="20"/>
    </row>
    <row r="29" spans="2:33">
      <c r="B29" s="12" t="s">
        <v>235</v>
      </c>
      <c r="C29" s="12"/>
      <c r="D29" s="3" t="s">
        <v>10</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2:33">
      <c r="B30" s="4"/>
      <c r="C30" s="4"/>
      <c r="D30" s="5">
        <v>1</v>
      </c>
      <c r="E30" s="5">
        <v>2</v>
      </c>
      <c r="F30" s="5">
        <v>3</v>
      </c>
      <c r="G30" s="5">
        <v>4</v>
      </c>
      <c r="H30" s="5">
        <v>5</v>
      </c>
      <c r="I30" s="5">
        <v>6</v>
      </c>
      <c r="J30" s="5">
        <v>7</v>
      </c>
      <c r="K30" s="5">
        <v>8</v>
      </c>
      <c r="L30" s="5">
        <v>9</v>
      </c>
      <c r="M30" s="5">
        <v>10</v>
      </c>
      <c r="N30" s="5">
        <v>11</v>
      </c>
      <c r="O30" s="5">
        <v>12</v>
      </c>
      <c r="P30" s="5">
        <v>13</v>
      </c>
      <c r="Q30" s="5">
        <v>14</v>
      </c>
      <c r="R30" s="5">
        <v>15</v>
      </c>
      <c r="S30" s="5">
        <v>16</v>
      </c>
      <c r="T30" s="5">
        <v>17</v>
      </c>
      <c r="U30" s="5">
        <v>18</v>
      </c>
      <c r="V30" s="5">
        <v>19</v>
      </c>
      <c r="W30" s="5">
        <v>20</v>
      </c>
      <c r="X30" s="5">
        <v>21</v>
      </c>
      <c r="Y30" s="5">
        <v>22</v>
      </c>
      <c r="Z30" s="5">
        <v>23</v>
      </c>
      <c r="AA30" s="5">
        <v>24</v>
      </c>
      <c r="AB30" s="5">
        <v>25</v>
      </c>
      <c r="AC30" s="5">
        <v>26</v>
      </c>
      <c r="AD30" s="5">
        <v>27</v>
      </c>
      <c r="AE30" s="5">
        <v>28</v>
      </c>
      <c r="AF30" s="5">
        <v>29</v>
      </c>
      <c r="AG30" s="5">
        <v>30</v>
      </c>
    </row>
    <row r="31" spans="2:33">
      <c r="B31" s="6" t="s">
        <v>37</v>
      </c>
      <c r="C31" s="124" t="s">
        <v>9</v>
      </c>
      <c r="D31" s="7">
        <f>D4</f>
        <v>2023</v>
      </c>
      <c r="E31" s="7">
        <f t="shared" ref="E31:AF31" si="6">E4</f>
        <v>2024</v>
      </c>
      <c r="F31" s="7">
        <f t="shared" si="6"/>
        <v>2025</v>
      </c>
      <c r="G31" s="7">
        <f t="shared" si="6"/>
        <v>2026</v>
      </c>
      <c r="H31" s="7">
        <f t="shared" si="6"/>
        <v>2027</v>
      </c>
      <c r="I31" s="7">
        <f t="shared" si="6"/>
        <v>2028</v>
      </c>
      <c r="J31" s="7">
        <f t="shared" si="6"/>
        <v>2029</v>
      </c>
      <c r="K31" s="7">
        <f t="shared" si="6"/>
        <v>2030</v>
      </c>
      <c r="L31" s="7">
        <f t="shared" si="6"/>
        <v>2031</v>
      </c>
      <c r="M31" s="7">
        <f t="shared" si="6"/>
        <v>2032</v>
      </c>
      <c r="N31" s="7">
        <f t="shared" si="6"/>
        <v>2033</v>
      </c>
      <c r="O31" s="7">
        <f t="shared" si="6"/>
        <v>2034</v>
      </c>
      <c r="P31" s="7">
        <f t="shared" si="6"/>
        <v>2035</v>
      </c>
      <c r="Q31" s="7">
        <f t="shared" si="6"/>
        <v>2036</v>
      </c>
      <c r="R31" s="7">
        <f t="shared" si="6"/>
        <v>2037</v>
      </c>
      <c r="S31" s="7">
        <f t="shared" si="6"/>
        <v>2038</v>
      </c>
      <c r="T31" s="7">
        <f t="shared" si="6"/>
        <v>2039</v>
      </c>
      <c r="U31" s="7">
        <f t="shared" si="6"/>
        <v>2040</v>
      </c>
      <c r="V31" s="7">
        <f t="shared" si="6"/>
        <v>2041</v>
      </c>
      <c r="W31" s="7">
        <f t="shared" si="6"/>
        <v>2042</v>
      </c>
      <c r="X31" s="7">
        <f t="shared" si="6"/>
        <v>2043</v>
      </c>
      <c r="Y31" s="7">
        <f t="shared" si="6"/>
        <v>2044</v>
      </c>
      <c r="Z31" s="7">
        <f t="shared" si="6"/>
        <v>2045</v>
      </c>
      <c r="AA31" s="7">
        <f t="shared" si="6"/>
        <v>2046</v>
      </c>
      <c r="AB31" s="7">
        <f t="shared" si="6"/>
        <v>2047</v>
      </c>
      <c r="AC31" s="7">
        <f t="shared" si="6"/>
        <v>2048</v>
      </c>
      <c r="AD31" s="7">
        <f t="shared" si="6"/>
        <v>2049</v>
      </c>
      <c r="AE31" s="7">
        <f t="shared" si="6"/>
        <v>2050</v>
      </c>
      <c r="AF31" s="7">
        <f t="shared" si="6"/>
        <v>2051</v>
      </c>
      <c r="AG31" s="7">
        <f t="shared" ref="AG31" si="7">AG4</f>
        <v>2052</v>
      </c>
    </row>
    <row r="32" spans="2:33">
      <c r="B32" s="3" t="s">
        <v>244</v>
      </c>
      <c r="C32" s="180">
        <f t="shared" ref="C32:C39" si="8">SUM(D32:AG32)</f>
        <v>0</v>
      </c>
      <c r="D32" s="180">
        <f>'05 Financovanie - nájom'!D19</f>
        <v>0</v>
      </c>
      <c r="E32" s="180">
        <f>'05 Financovanie - nájom'!E19</f>
        <v>0</v>
      </c>
      <c r="F32" s="180">
        <f>'05 Financovanie - nájom'!F19</f>
        <v>0</v>
      </c>
      <c r="G32" s="180">
        <f>'05 Financovanie - nájom'!G19</f>
        <v>0</v>
      </c>
      <c r="H32" s="180">
        <f>'05 Financovanie - nájom'!H19</f>
        <v>0</v>
      </c>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row>
    <row r="33" spans="2:33">
      <c r="B33" s="3" t="s">
        <v>222</v>
      </c>
      <c r="C33" s="180">
        <f t="shared" si="8"/>
        <v>585446725.01902246</v>
      </c>
      <c r="D33" s="180">
        <f>D7</f>
        <v>0</v>
      </c>
      <c r="E33" s="180">
        <f t="shared" ref="E33:AF33" si="9">E7</f>
        <v>0</v>
      </c>
      <c r="F33" s="180">
        <f t="shared" si="9"/>
        <v>0</v>
      </c>
      <c r="G33" s="180">
        <f t="shared" si="9"/>
        <v>0</v>
      </c>
      <c r="H33" s="180">
        <f t="shared" si="9"/>
        <v>6098199.0814804994</v>
      </c>
      <c r="I33" s="180">
        <f t="shared" si="9"/>
        <v>16669748.157206506</v>
      </c>
      <c r="J33" s="180">
        <f t="shared" si="9"/>
        <v>17503235.565066826</v>
      </c>
      <c r="K33" s="180">
        <f t="shared" si="9"/>
        <v>18378397.343320165</v>
      </c>
      <c r="L33" s="180">
        <f t="shared" si="9"/>
        <v>19297317.210486174</v>
      </c>
      <c r="M33" s="180">
        <f t="shared" si="9"/>
        <v>19683263.554695897</v>
      </c>
      <c r="N33" s="180">
        <f t="shared" si="9"/>
        <v>20076928.825789817</v>
      </c>
      <c r="O33" s="180">
        <f t="shared" si="9"/>
        <v>20478467.402305614</v>
      </c>
      <c r="P33" s="180">
        <f t="shared" si="9"/>
        <v>20888036.750351734</v>
      </c>
      <c r="Q33" s="180">
        <f t="shared" si="9"/>
        <v>21305797.485358775</v>
      </c>
      <c r="R33" s="180">
        <f t="shared" si="9"/>
        <v>21731913.435065947</v>
      </c>
      <c r="S33" s="180">
        <f t="shared" si="9"/>
        <v>22166551.70376727</v>
      </c>
      <c r="T33" s="180">
        <f t="shared" si="9"/>
        <v>22609882.737842619</v>
      </c>
      <c r="U33" s="180">
        <f t="shared" si="9"/>
        <v>23062080.392599471</v>
      </c>
      <c r="V33" s="180">
        <f t="shared" si="9"/>
        <v>23523322.00045146</v>
      </c>
      <c r="W33" s="180">
        <f t="shared" si="9"/>
        <v>23993788.440460488</v>
      </c>
      <c r="X33" s="180">
        <f t="shared" si="9"/>
        <v>24473664.209269702</v>
      </c>
      <c r="Y33" s="180">
        <f t="shared" si="9"/>
        <v>24963137.493455097</v>
      </c>
      <c r="Z33" s="180">
        <f t="shared" si="9"/>
        <v>25462400.24332419</v>
      </c>
      <c r="AA33" s="180">
        <f t="shared" si="9"/>
        <v>25971648.248190679</v>
      </c>
      <c r="AB33" s="180">
        <f t="shared" si="9"/>
        <v>26491081.213154502</v>
      </c>
      <c r="AC33" s="180">
        <f t="shared" si="9"/>
        <v>27020902.837417595</v>
      </c>
      <c r="AD33" s="180">
        <f t="shared" si="9"/>
        <v>27561320.894165933</v>
      </c>
      <c r="AE33" s="180">
        <f t="shared" si="9"/>
        <v>28112547.312049262</v>
      </c>
      <c r="AF33" s="180">
        <f t="shared" si="9"/>
        <v>28674798.258290239</v>
      </c>
      <c r="AG33" s="180">
        <f t="shared" ref="AG33" si="10">AG7</f>
        <v>29248294.223456047</v>
      </c>
    </row>
    <row r="34" spans="2:33">
      <c r="B34" s="4" t="s">
        <v>11</v>
      </c>
      <c r="C34" s="184">
        <f t="shared" si="8"/>
        <v>585446725.01902246</v>
      </c>
      <c r="D34" s="184">
        <f t="shared" ref="D34:AF34" si="11">SUM(D32:D33)</f>
        <v>0</v>
      </c>
      <c r="E34" s="184">
        <f t="shared" si="11"/>
        <v>0</v>
      </c>
      <c r="F34" s="184">
        <f t="shared" si="11"/>
        <v>0</v>
      </c>
      <c r="G34" s="184">
        <f t="shared" si="11"/>
        <v>0</v>
      </c>
      <c r="H34" s="184">
        <f t="shared" si="11"/>
        <v>6098199.0814804994</v>
      </c>
      <c r="I34" s="184">
        <f t="shared" si="11"/>
        <v>16669748.157206506</v>
      </c>
      <c r="J34" s="184">
        <f t="shared" si="11"/>
        <v>17503235.565066826</v>
      </c>
      <c r="K34" s="184">
        <f t="shared" si="11"/>
        <v>18378397.343320165</v>
      </c>
      <c r="L34" s="184">
        <f t="shared" si="11"/>
        <v>19297317.210486174</v>
      </c>
      <c r="M34" s="184">
        <f t="shared" si="11"/>
        <v>19683263.554695897</v>
      </c>
      <c r="N34" s="184">
        <f t="shared" si="11"/>
        <v>20076928.825789817</v>
      </c>
      <c r="O34" s="184">
        <f t="shared" si="11"/>
        <v>20478467.402305614</v>
      </c>
      <c r="P34" s="184">
        <f t="shared" si="11"/>
        <v>20888036.750351734</v>
      </c>
      <c r="Q34" s="184">
        <f t="shared" si="11"/>
        <v>21305797.485358775</v>
      </c>
      <c r="R34" s="184">
        <f t="shared" si="11"/>
        <v>21731913.435065947</v>
      </c>
      <c r="S34" s="184">
        <f t="shared" si="11"/>
        <v>22166551.70376727</v>
      </c>
      <c r="T34" s="184">
        <f t="shared" si="11"/>
        <v>22609882.737842619</v>
      </c>
      <c r="U34" s="184">
        <f t="shared" si="11"/>
        <v>23062080.392599471</v>
      </c>
      <c r="V34" s="184">
        <f t="shared" si="11"/>
        <v>23523322.00045146</v>
      </c>
      <c r="W34" s="184">
        <f t="shared" si="11"/>
        <v>23993788.440460488</v>
      </c>
      <c r="X34" s="184">
        <f t="shared" si="11"/>
        <v>24473664.209269702</v>
      </c>
      <c r="Y34" s="184">
        <f t="shared" si="11"/>
        <v>24963137.493455097</v>
      </c>
      <c r="Z34" s="184">
        <f t="shared" si="11"/>
        <v>25462400.24332419</v>
      </c>
      <c r="AA34" s="184">
        <f t="shared" si="11"/>
        <v>25971648.248190679</v>
      </c>
      <c r="AB34" s="184">
        <f t="shared" si="11"/>
        <v>26491081.213154502</v>
      </c>
      <c r="AC34" s="184">
        <f t="shared" si="11"/>
        <v>27020902.837417595</v>
      </c>
      <c r="AD34" s="184">
        <f t="shared" si="11"/>
        <v>27561320.894165933</v>
      </c>
      <c r="AE34" s="184">
        <f t="shared" si="11"/>
        <v>28112547.312049262</v>
      </c>
      <c r="AF34" s="184">
        <f t="shared" si="11"/>
        <v>28674798.258290239</v>
      </c>
      <c r="AG34" s="184">
        <f t="shared" ref="AG34" si="12">SUM(AG32:AG33)</f>
        <v>29248294.223456047</v>
      </c>
    </row>
    <row r="35" spans="2:33">
      <c r="B35" s="3" t="s">
        <v>60</v>
      </c>
      <c r="C35" s="180">
        <f t="shared" si="8"/>
        <v>0</v>
      </c>
      <c r="D35" s="180">
        <f>D5</f>
        <v>0</v>
      </c>
      <c r="E35" s="180">
        <f t="shared" ref="E35:H35" si="13">E5</f>
        <v>0</v>
      </c>
      <c r="F35" s="180">
        <f t="shared" si="13"/>
        <v>0</v>
      </c>
      <c r="G35" s="180">
        <f t="shared" si="13"/>
        <v>0</v>
      </c>
      <c r="H35" s="180">
        <f t="shared" si="13"/>
        <v>0</v>
      </c>
      <c r="I35" s="180"/>
      <c r="J35" s="180"/>
      <c r="K35" s="180"/>
      <c r="L35" s="180"/>
      <c r="M35" s="180"/>
      <c r="N35" s="180"/>
      <c r="O35" s="180"/>
      <c r="P35" s="180"/>
      <c r="Q35" s="180"/>
      <c r="R35" s="180"/>
      <c r="S35" s="180"/>
      <c r="T35" s="180"/>
      <c r="U35" s="180"/>
      <c r="V35" s="180"/>
      <c r="W35" s="180"/>
      <c r="X35" s="180"/>
      <c r="Y35" s="180"/>
      <c r="Z35" s="180"/>
      <c r="AA35" s="180"/>
      <c r="AB35" s="180"/>
      <c r="AC35" s="180"/>
      <c r="AD35" s="180"/>
      <c r="AE35" s="180"/>
      <c r="AF35" s="180"/>
      <c r="AG35" s="180"/>
    </row>
    <row r="36" spans="2:33">
      <c r="B36" s="3" t="s">
        <v>59</v>
      </c>
      <c r="C36" s="180">
        <f t="shared" si="8"/>
        <v>686142170.00000012</v>
      </c>
      <c r="D36" s="180">
        <f>D6</f>
        <v>0</v>
      </c>
      <c r="E36" s="180">
        <f t="shared" ref="E36:AF36" si="14">E6</f>
        <v>0</v>
      </c>
      <c r="F36" s="180">
        <f t="shared" si="14"/>
        <v>-650040</v>
      </c>
      <c r="G36" s="180">
        <f t="shared" si="14"/>
        <v>-61951480</v>
      </c>
      <c r="H36" s="180">
        <f t="shared" si="14"/>
        <v>-86432310</v>
      </c>
      <c r="I36" s="180">
        <f t="shared" si="14"/>
        <v>-64972959.999999985</v>
      </c>
      <c r="J36" s="180">
        <f t="shared" si="14"/>
        <v>-64972959.999999985</v>
      </c>
      <c r="K36" s="180">
        <f t="shared" si="14"/>
        <v>46527040.000000015</v>
      </c>
      <c r="L36" s="180">
        <f t="shared" si="14"/>
        <v>46527040.000000015</v>
      </c>
      <c r="M36" s="180">
        <f t="shared" si="14"/>
        <v>46527040.000000015</v>
      </c>
      <c r="N36" s="180">
        <f t="shared" si="14"/>
        <v>46527040.000000015</v>
      </c>
      <c r="O36" s="180">
        <f t="shared" si="14"/>
        <v>46527040.000000015</v>
      </c>
      <c r="P36" s="180">
        <f t="shared" si="14"/>
        <v>46527040.000000015</v>
      </c>
      <c r="Q36" s="180">
        <f t="shared" si="14"/>
        <v>46527040.000000015</v>
      </c>
      <c r="R36" s="180">
        <f t="shared" si="14"/>
        <v>46527040.000000015</v>
      </c>
      <c r="S36" s="180">
        <f t="shared" si="14"/>
        <v>46527040.000000015</v>
      </c>
      <c r="T36" s="180">
        <f t="shared" si="14"/>
        <v>46527040.000000015</v>
      </c>
      <c r="U36" s="180">
        <f t="shared" si="14"/>
        <v>46527040.000000015</v>
      </c>
      <c r="V36" s="180">
        <f t="shared" si="14"/>
        <v>28527040.000000015</v>
      </c>
      <c r="W36" s="180">
        <f t="shared" si="14"/>
        <v>17527040.000000015</v>
      </c>
      <c r="X36" s="180">
        <f t="shared" si="14"/>
        <v>17527040.000000015</v>
      </c>
      <c r="Y36" s="180">
        <f t="shared" si="14"/>
        <v>17527040.000000015</v>
      </c>
      <c r="Z36" s="180">
        <f t="shared" si="14"/>
        <v>46527040.000000015</v>
      </c>
      <c r="AA36" s="180">
        <f t="shared" si="14"/>
        <v>46527040.000000015</v>
      </c>
      <c r="AB36" s="180">
        <f t="shared" si="14"/>
        <v>46527040.000000015</v>
      </c>
      <c r="AC36" s="180">
        <f t="shared" si="14"/>
        <v>46527040.000000015</v>
      </c>
      <c r="AD36" s="180">
        <f t="shared" si="14"/>
        <v>46527040.000000015</v>
      </c>
      <c r="AE36" s="180">
        <f t="shared" si="14"/>
        <v>46527040.000000015</v>
      </c>
      <c r="AF36" s="180">
        <f t="shared" si="14"/>
        <v>46527040.000000015</v>
      </c>
      <c r="AG36" s="180">
        <f t="shared" ref="AG36" si="15">AG6</f>
        <v>46527040.000000015</v>
      </c>
    </row>
    <row r="37" spans="2:33">
      <c r="B37" s="3" t="s">
        <v>234</v>
      </c>
      <c r="C37" s="180">
        <f t="shared" si="8"/>
        <v>0</v>
      </c>
      <c r="D37" s="180">
        <f>D20</f>
        <v>0</v>
      </c>
      <c r="E37" s="180">
        <f t="shared" ref="E37:AF37" si="16">E20</f>
        <v>0</v>
      </c>
      <c r="F37" s="180">
        <f t="shared" si="16"/>
        <v>0</v>
      </c>
      <c r="G37" s="180">
        <f t="shared" si="16"/>
        <v>0</v>
      </c>
      <c r="H37" s="180">
        <f t="shared" si="16"/>
        <v>0</v>
      </c>
      <c r="I37" s="180">
        <f t="shared" si="16"/>
        <v>0</v>
      </c>
      <c r="J37" s="180">
        <f t="shared" si="16"/>
        <v>0</v>
      </c>
      <c r="K37" s="180">
        <f t="shared" si="16"/>
        <v>0</v>
      </c>
      <c r="L37" s="180">
        <f t="shared" si="16"/>
        <v>0</v>
      </c>
      <c r="M37" s="180">
        <f t="shared" si="16"/>
        <v>0</v>
      </c>
      <c r="N37" s="180">
        <f t="shared" si="16"/>
        <v>0</v>
      </c>
      <c r="O37" s="180">
        <f t="shared" si="16"/>
        <v>0</v>
      </c>
      <c r="P37" s="180">
        <f t="shared" si="16"/>
        <v>0</v>
      </c>
      <c r="Q37" s="180">
        <f t="shared" si="16"/>
        <v>0</v>
      </c>
      <c r="R37" s="180">
        <f t="shared" si="16"/>
        <v>0</v>
      </c>
      <c r="S37" s="180">
        <f t="shared" si="16"/>
        <v>0</v>
      </c>
      <c r="T37" s="180">
        <f t="shared" si="16"/>
        <v>0</v>
      </c>
      <c r="U37" s="180">
        <f t="shared" si="16"/>
        <v>0</v>
      </c>
      <c r="V37" s="180">
        <f t="shared" si="16"/>
        <v>0</v>
      </c>
      <c r="W37" s="180">
        <f t="shared" si="16"/>
        <v>0</v>
      </c>
      <c r="X37" s="180">
        <f t="shared" si="16"/>
        <v>0</v>
      </c>
      <c r="Y37" s="180">
        <f t="shared" si="16"/>
        <v>0</v>
      </c>
      <c r="Z37" s="180">
        <f t="shared" si="16"/>
        <v>0</v>
      </c>
      <c r="AA37" s="180">
        <f t="shared" si="16"/>
        <v>0</v>
      </c>
      <c r="AB37" s="180">
        <f t="shared" si="16"/>
        <v>0</v>
      </c>
      <c r="AC37" s="180">
        <f t="shared" si="16"/>
        <v>0</v>
      </c>
      <c r="AD37" s="180">
        <f t="shared" si="16"/>
        <v>0</v>
      </c>
      <c r="AE37" s="180">
        <f t="shared" si="16"/>
        <v>0</v>
      </c>
      <c r="AF37" s="180">
        <f t="shared" si="16"/>
        <v>0</v>
      </c>
      <c r="AG37" s="180">
        <f t="shared" ref="AG37" si="17">AG20</f>
        <v>0</v>
      </c>
    </row>
    <row r="38" spans="2:33">
      <c r="B38" s="4" t="s">
        <v>23</v>
      </c>
      <c r="C38" s="184">
        <f t="shared" si="8"/>
        <v>686142170.00000012</v>
      </c>
      <c r="D38" s="184">
        <f>SUM(D35:D37)</f>
        <v>0</v>
      </c>
      <c r="E38" s="184">
        <f t="shared" ref="E38:AF38" si="18">SUM(E35:E37)</f>
        <v>0</v>
      </c>
      <c r="F38" s="184">
        <f t="shared" si="18"/>
        <v>-650040</v>
      </c>
      <c r="G38" s="184">
        <f t="shared" si="18"/>
        <v>-61951480</v>
      </c>
      <c r="H38" s="184">
        <f t="shared" si="18"/>
        <v>-86432310</v>
      </c>
      <c r="I38" s="184">
        <f t="shared" si="18"/>
        <v>-64972959.999999985</v>
      </c>
      <c r="J38" s="184">
        <f t="shared" si="18"/>
        <v>-64972959.999999985</v>
      </c>
      <c r="K38" s="184">
        <f t="shared" si="18"/>
        <v>46527040.000000015</v>
      </c>
      <c r="L38" s="184">
        <f t="shared" si="18"/>
        <v>46527040.000000015</v>
      </c>
      <c r="M38" s="184">
        <f t="shared" si="18"/>
        <v>46527040.000000015</v>
      </c>
      <c r="N38" s="184">
        <f t="shared" si="18"/>
        <v>46527040.000000015</v>
      </c>
      <c r="O38" s="184">
        <f t="shared" si="18"/>
        <v>46527040.000000015</v>
      </c>
      <c r="P38" s="184">
        <f t="shared" si="18"/>
        <v>46527040.000000015</v>
      </c>
      <c r="Q38" s="184">
        <f t="shared" si="18"/>
        <v>46527040.000000015</v>
      </c>
      <c r="R38" s="184">
        <f t="shared" si="18"/>
        <v>46527040.000000015</v>
      </c>
      <c r="S38" s="184">
        <f t="shared" si="18"/>
        <v>46527040.000000015</v>
      </c>
      <c r="T38" s="184">
        <f t="shared" si="18"/>
        <v>46527040.000000015</v>
      </c>
      <c r="U38" s="184">
        <f t="shared" si="18"/>
        <v>46527040.000000015</v>
      </c>
      <c r="V38" s="184">
        <f t="shared" si="18"/>
        <v>28527040.000000015</v>
      </c>
      <c r="W38" s="184">
        <f t="shared" si="18"/>
        <v>17527040.000000015</v>
      </c>
      <c r="X38" s="184">
        <f t="shared" si="18"/>
        <v>17527040.000000015</v>
      </c>
      <c r="Y38" s="184">
        <f t="shared" si="18"/>
        <v>17527040.000000015</v>
      </c>
      <c r="Z38" s="184">
        <f t="shared" si="18"/>
        <v>46527040.000000015</v>
      </c>
      <c r="AA38" s="184">
        <f t="shared" si="18"/>
        <v>46527040.000000015</v>
      </c>
      <c r="AB38" s="184">
        <f t="shared" si="18"/>
        <v>46527040.000000015</v>
      </c>
      <c r="AC38" s="184">
        <f t="shared" si="18"/>
        <v>46527040.000000015</v>
      </c>
      <c r="AD38" s="184">
        <f t="shared" si="18"/>
        <v>46527040.000000015</v>
      </c>
      <c r="AE38" s="184">
        <f t="shared" si="18"/>
        <v>46527040.000000015</v>
      </c>
      <c r="AF38" s="184">
        <f t="shared" si="18"/>
        <v>46527040.000000015</v>
      </c>
      <c r="AG38" s="184">
        <f t="shared" ref="AG38" si="19">SUM(AG35:AG37)</f>
        <v>46527040.000000015</v>
      </c>
    </row>
    <row r="39" spans="2:33">
      <c r="B39" s="128" t="s">
        <v>46</v>
      </c>
      <c r="C39" s="202">
        <f t="shared" si="8"/>
        <v>-100695444.98097786</v>
      </c>
      <c r="D39" s="202">
        <f>D34-D38</f>
        <v>0</v>
      </c>
      <c r="E39" s="202">
        <f t="shared" ref="E39:AF39" si="20">E34-E38</f>
        <v>0</v>
      </c>
      <c r="F39" s="202">
        <f t="shared" si="20"/>
        <v>650040</v>
      </c>
      <c r="G39" s="202">
        <f t="shared" si="20"/>
        <v>61951480</v>
      </c>
      <c r="H39" s="202">
        <f t="shared" si="20"/>
        <v>92530509.081480503</v>
      </c>
      <c r="I39" s="202">
        <f t="shared" si="20"/>
        <v>81642708.157206491</v>
      </c>
      <c r="J39" s="202">
        <f t="shared" si="20"/>
        <v>82476195.565066814</v>
      </c>
      <c r="K39" s="202">
        <f t="shared" si="20"/>
        <v>-28148642.65667985</v>
      </c>
      <c r="L39" s="202">
        <f t="shared" si="20"/>
        <v>-27229722.789513841</v>
      </c>
      <c r="M39" s="202">
        <f t="shared" si="20"/>
        <v>-26843776.445304118</v>
      </c>
      <c r="N39" s="202">
        <f t="shared" si="20"/>
        <v>-26450111.174210198</v>
      </c>
      <c r="O39" s="202">
        <f t="shared" si="20"/>
        <v>-26048572.597694401</v>
      </c>
      <c r="P39" s="202">
        <f t="shared" si="20"/>
        <v>-25639003.24964828</v>
      </c>
      <c r="Q39" s="202">
        <f t="shared" si="20"/>
        <v>-25221242.51464124</v>
      </c>
      <c r="R39" s="202">
        <f t="shared" si="20"/>
        <v>-24795126.564934067</v>
      </c>
      <c r="S39" s="202">
        <f t="shared" si="20"/>
        <v>-24360488.296232745</v>
      </c>
      <c r="T39" s="202">
        <f t="shared" si="20"/>
        <v>-23917157.262157395</v>
      </c>
      <c r="U39" s="202">
        <f t="shared" si="20"/>
        <v>-23464959.607400544</v>
      </c>
      <c r="V39" s="202">
        <f t="shared" si="20"/>
        <v>-5003717.9995485544</v>
      </c>
      <c r="W39" s="202">
        <f t="shared" si="20"/>
        <v>6466748.4404604733</v>
      </c>
      <c r="X39" s="202">
        <f t="shared" si="20"/>
        <v>6946624.2092696875</v>
      </c>
      <c r="Y39" s="202">
        <f t="shared" si="20"/>
        <v>7436097.4934550822</v>
      </c>
      <c r="Z39" s="202">
        <f t="shared" si="20"/>
        <v>-21064639.756675825</v>
      </c>
      <c r="AA39" s="202">
        <f t="shared" si="20"/>
        <v>-20555391.751809336</v>
      </c>
      <c r="AB39" s="202">
        <f t="shared" si="20"/>
        <v>-20035958.786845513</v>
      </c>
      <c r="AC39" s="202">
        <f t="shared" si="20"/>
        <v>-19506137.16258242</v>
      </c>
      <c r="AD39" s="202">
        <f t="shared" si="20"/>
        <v>-18965719.105834082</v>
      </c>
      <c r="AE39" s="202">
        <f t="shared" si="20"/>
        <v>-18414492.687950753</v>
      </c>
      <c r="AF39" s="202">
        <f t="shared" si="20"/>
        <v>-17852241.741709776</v>
      </c>
      <c r="AG39" s="202">
        <f t="shared" ref="AG39" si="21">AG34-AG38</f>
        <v>-17278745.776543967</v>
      </c>
    </row>
    <row r="40" spans="2:33">
      <c r="B40" s="3" t="s">
        <v>24</v>
      </c>
      <c r="C40" s="184"/>
      <c r="D40" s="180">
        <f>D39</f>
        <v>0</v>
      </c>
      <c r="E40" s="180">
        <f>D40+E39</f>
        <v>0</v>
      </c>
      <c r="F40" s="180">
        <f t="shared" ref="F40:AF40" si="22">E40+F39</f>
        <v>650040</v>
      </c>
      <c r="G40" s="180">
        <f t="shared" si="22"/>
        <v>62601520</v>
      </c>
      <c r="H40" s="180">
        <f t="shared" si="22"/>
        <v>155132029.0814805</v>
      </c>
      <c r="I40" s="180">
        <f t="shared" si="22"/>
        <v>236774737.23868698</v>
      </c>
      <c r="J40" s="180">
        <f t="shared" si="22"/>
        <v>319250932.80375379</v>
      </c>
      <c r="K40" s="180">
        <f t="shared" si="22"/>
        <v>291102290.14707392</v>
      </c>
      <c r="L40" s="180">
        <f t="shared" si="22"/>
        <v>263872567.3575601</v>
      </c>
      <c r="M40" s="180">
        <f t="shared" si="22"/>
        <v>237028790.91225597</v>
      </c>
      <c r="N40" s="180">
        <f t="shared" si="22"/>
        <v>210578679.73804578</v>
      </c>
      <c r="O40" s="180">
        <f t="shared" si="22"/>
        <v>184530107.14035138</v>
      </c>
      <c r="P40" s="180">
        <f t="shared" si="22"/>
        <v>158891103.89070311</v>
      </c>
      <c r="Q40" s="180">
        <f t="shared" si="22"/>
        <v>133669861.37606187</v>
      </c>
      <c r="R40" s="180">
        <f t="shared" si="22"/>
        <v>108874734.81112781</v>
      </c>
      <c r="S40" s="180">
        <f t="shared" si="22"/>
        <v>84514246.514895067</v>
      </c>
      <c r="T40" s="180">
        <f t="shared" si="22"/>
        <v>60597089.252737671</v>
      </c>
      <c r="U40" s="180">
        <f t="shared" si="22"/>
        <v>37132129.645337127</v>
      </c>
      <c r="V40" s="180">
        <f t="shared" si="22"/>
        <v>32128411.645788573</v>
      </c>
      <c r="W40" s="180">
        <f t="shared" si="22"/>
        <v>38595160.086249046</v>
      </c>
      <c r="X40" s="180">
        <f t="shared" si="22"/>
        <v>45541784.295518734</v>
      </c>
      <c r="Y40" s="180">
        <f t="shared" si="22"/>
        <v>52977881.788973816</v>
      </c>
      <c r="Z40" s="180">
        <f t="shared" si="22"/>
        <v>31913242.032297991</v>
      </c>
      <c r="AA40" s="180">
        <f t="shared" si="22"/>
        <v>11357850.280488655</v>
      </c>
      <c r="AB40" s="180">
        <f t="shared" si="22"/>
        <v>-8678108.5063568577</v>
      </c>
      <c r="AC40" s="180">
        <f t="shared" si="22"/>
        <v>-28184245.668939278</v>
      </c>
      <c r="AD40" s="180">
        <f t="shared" si="22"/>
        <v>-47149964.774773359</v>
      </c>
      <c r="AE40" s="180">
        <f t="shared" si="22"/>
        <v>-65564457.462724112</v>
      </c>
      <c r="AF40" s="180">
        <f t="shared" si="22"/>
        <v>-83416699.204433888</v>
      </c>
      <c r="AG40" s="180">
        <f t="shared" ref="AG40" si="23">AF40+AG39</f>
        <v>-100695444.98097786</v>
      </c>
    </row>
    <row r="41" spans="2:33">
      <c r="B41" s="3" t="s">
        <v>246</v>
      </c>
      <c r="C41" s="184">
        <f>SUM(D41:AG41)</f>
        <v>333688920.59820533</v>
      </c>
      <c r="D41" s="182">
        <f>IF(D40&lt;0,-D40,0)</f>
        <v>0</v>
      </c>
      <c r="E41" s="182">
        <f t="shared" ref="E41:AF41" si="24">IF(E40&lt;0,-E40,0)</f>
        <v>0</v>
      </c>
      <c r="F41" s="182">
        <f t="shared" si="24"/>
        <v>0</v>
      </c>
      <c r="G41" s="182">
        <f t="shared" si="24"/>
        <v>0</v>
      </c>
      <c r="H41" s="182">
        <f t="shared" si="24"/>
        <v>0</v>
      </c>
      <c r="I41" s="182">
        <f t="shared" si="24"/>
        <v>0</v>
      </c>
      <c r="J41" s="182">
        <f t="shared" si="24"/>
        <v>0</v>
      </c>
      <c r="K41" s="182">
        <f t="shared" si="24"/>
        <v>0</v>
      </c>
      <c r="L41" s="182">
        <f t="shared" si="24"/>
        <v>0</v>
      </c>
      <c r="M41" s="182">
        <f t="shared" si="24"/>
        <v>0</v>
      </c>
      <c r="N41" s="182">
        <f t="shared" si="24"/>
        <v>0</v>
      </c>
      <c r="O41" s="182">
        <f t="shared" si="24"/>
        <v>0</v>
      </c>
      <c r="P41" s="182">
        <f t="shared" si="24"/>
        <v>0</v>
      </c>
      <c r="Q41" s="182">
        <f t="shared" si="24"/>
        <v>0</v>
      </c>
      <c r="R41" s="182">
        <f t="shared" si="24"/>
        <v>0</v>
      </c>
      <c r="S41" s="182">
        <f t="shared" si="24"/>
        <v>0</v>
      </c>
      <c r="T41" s="182">
        <f t="shared" si="24"/>
        <v>0</v>
      </c>
      <c r="U41" s="182">
        <f t="shared" si="24"/>
        <v>0</v>
      </c>
      <c r="V41" s="182">
        <f t="shared" si="24"/>
        <v>0</v>
      </c>
      <c r="W41" s="182">
        <f t="shared" si="24"/>
        <v>0</v>
      </c>
      <c r="X41" s="182">
        <f t="shared" si="24"/>
        <v>0</v>
      </c>
      <c r="Y41" s="182">
        <f t="shared" si="24"/>
        <v>0</v>
      </c>
      <c r="Z41" s="182">
        <f t="shared" si="24"/>
        <v>0</v>
      </c>
      <c r="AA41" s="182">
        <f t="shared" si="24"/>
        <v>0</v>
      </c>
      <c r="AB41" s="182">
        <f t="shared" si="24"/>
        <v>8678108.5063568577</v>
      </c>
      <c r="AC41" s="182">
        <f t="shared" si="24"/>
        <v>28184245.668939278</v>
      </c>
      <c r="AD41" s="182">
        <f t="shared" si="24"/>
        <v>47149964.774773359</v>
      </c>
      <c r="AE41" s="182">
        <f t="shared" si="24"/>
        <v>65564457.462724112</v>
      </c>
      <c r="AF41" s="182">
        <f t="shared" si="24"/>
        <v>83416699.204433888</v>
      </c>
      <c r="AG41" s="182">
        <f t="shared" ref="AG41" si="25">IF(AG40&lt;0,-AG40,0)</f>
        <v>100695444.98097786</v>
      </c>
    </row>
    <row r="42" spans="2:33">
      <c r="B42" s="24" t="s">
        <v>247</v>
      </c>
      <c r="C42" s="203"/>
      <c r="D42" s="203">
        <f>D40+D41</f>
        <v>0</v>
      </c>
      <c r="E42" s="203">
        <f t="shared" ref="E42:AF42" si="26">E40+E41</f>
        <v>0</v>
      </c>
      <c r="F42" s="203">
        <f t="shared" si="26"/>
        <v>650040</v>
      </c>
      <c r="G42" s="203">
        <f t="shared" si="26"/>
        <v>62601520</v>
      </c>
      <c r="H42" s="203">
        <f t="shared" si="26"/>
        <v>155132029.0814805</v>
      </c>
      <c r="I42" s="203">
        <f t="shared" si="26"/>
        <v>236774737.23868698</v>
      </c>
      <c r="J42" s="203">
        <f t="shared" si="26"/>
        <v>319250932.80375379</v>
      </c>
      <c r="K42" s="203">
        <f t="shared" si="26"/>
        <v>291102290.14707392</v>
      </c>
      <c r="L42" s="203">
        <f t="shared" si="26"/>
        <v>263872567.3575601</v>
      </c>
      <c r="M42" s="203">
        <f t="shared" si="26"/>
        <v>237028790.91225597</v>
      </c>
      <c r="N42" s="203">
        <f t="shared" si="26"/>
        <v>210578679.73804578</v>
      </c>
      <c r="O42" s="203">
        <f t="shared" si="26"/>
        <v>184530107.14035138</v>
      </c>
      <c r="P42" s="203">
        <f t="shared" si="26"/>
        <v>158891103.89070311</v>
      </c>
      <c r="Q42" s="203">
        <f t="shared" si="26"/>
        <v>133669861.37606187</v>
      </c>
      <c r="R42" s="203">
        <f t="shared" si="26"/>
        <v>108874734.81112781</v>
      </c>
      <c r="S42" s="203">
        <f t="shared" si="26"/>
        <v>84514246.514895067</v>
      </c>
      <c r="T42" s="203">
        <f t="shared" si="26"/>
        <v>60597089.252737671</v>
      </c>
      <c r="U42" s="203">
        <f t="shared" si="26"/>
        <v>37132129.645337127</v>
      </c>
      <c r="V42" s="203">
        <f t="shared" si="26"/>
        <v>32128411.645788573</v>
      </c>
      <c r="W42" s="203">
        <f t="shared" si="26"/>
        <v>38595160.086249046</v>
      </c>
      <c r="X42" s="203">
        <f t="shared" si="26"/>
        <v>45541784.295518734</v>
      </c>
      <c r="Y42" s="203">
        <f t="shared" si="26"/>
        <v>52977881.788973816</v>
      </c>
      <c r="Z42" s="203">
        <f t="shared" si="26"/>
        <v>31913242.032297991</v>
      </c>
      <c r="AA42" s="203">
        <f t="shared" si="26"/>
        <v>11357850.280488655</v>
      </c>
      <c r="AB42" s="203">
        <f t="shared" si="26"/>
        <v>0</v>
      </c>
      <c r="AC42" s="203">
        <f t="shared" si="26"/>
        <v>0</v>
      </c>
      <c r="AD42" s="203">
        <f t="shared" si="26"/>
        <v>0</v>
      </c>
      <c r="AE42" s="203">
        <f t="shared" si="26"/>
        <v>0</v>
      </c>
      <c r="AF42" s="203">
        <f t="shared" si="26"/>
        <v>0</v>
      </c>
      <c r="AG42" s="203">
        <f t="shared" ref="AG42" si="27">AG40+AG41</f>
        <v>0</v>
      </c>
    </row>
    <row r="45" spans="2:33">
      <c r="B45" s="12" t="s">
        <v>250</v>
      </c>
      <c r="C45" s="12"/>
      <c r="D45" s="3" t="s">
        <v>10</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2:33">
      <c r="B46" s="4"/>
      <c r="C46" s="4"/>
      <c r="D46" s="5">
        <v>1</v>
      </c>
      <c r="E46" s="5">
        <v>2</v>
      </c>
      <c r="F46" s="5">
        <v>3</v>
      </c>
      <c r="G46" s="5">
        <v>4</v>
      </c>
      <c r="H46" s="5">
        <v>5</v>
      </c>
      <c r="I46" s="5">
        <v>6</v>
      </c>
      <c r="J46" s="5">
        <v>7</v>
      </c>
      <c r="K46" s="5">
        <v>8</v>
      </c>
      <c r="L46" s="5">
        <v>9</v>
      </c>
      <c r="M46" s="5">
        <v>10</v>
      </c>
      <c r="N46" s="5">
        <v>11</v>
      </c>
      <c r="O46" s="5">
        <v>12</v>
      </c>
      <c r="P46" s="5">
        <v>13</v>
      </c>
      <c r="Q46" s="5">
        <v>14</v>
      </c>
      <c r="R46" s="5">
        <v>15</v>
      </c>
      <c r="S46" s="5">
        <v>16</v>
      </c>
      <c r="T46" s="5">
        <v>17</v>
      </c>
      <c r="U46" s="5">
        <v>18</v>
      </c>
      <c r="V46" s="5">
        <v>19</v>
      </c>
      <c r="W46" s="5">
        <v>20</v>
      </c>
      <c r="X46" s="5">
        <v>21</v>
      </c>
      <c r="Y46" s="5">
        <v>22</v>
      </c>
      <c r="Z46" s="5">
        <v>23</v>
      </c>
      <c r="AA46" s="5">
        <v>24</v>
      </c>
      <c r="AB46" s="5">
        <v>25</v>
      </c>
      <c r="AC46" s="5">
        <v>26</v>
      </c>
      <c r="AD46" s="5">
        <v>27</v>
      </c>
      <c r="AE46" s="5">
        <v>28</v>
      </c>
      <c r="AF46" s="5">
        <v>29</v>
      </c>
      <c r="AG46" s="5">
        <v>30</v>
      </c>
    </row>
    <row r="47" spans="2:33">
      <c r="B47" s="6" t="s">
        <v>37</v>
      </c>
      <c r="C47" s="124" t="s">
        <v>9</v>
      </c>
      <c r="D47" s="7">
        <f>D4</f>
        <v>2023</v>
      </c>
      <c r="E47" s="7">
        <f t="shared" ref="E47:AF47" si="28">E4</f>
        <v>2024</v>
      </c>
      <c r="F47" s="7">
        <f t="shared" si="28"/>
        <v>2025</v>
      </c>
      <c r="G47" s="7">
        <f t="shared" si="28"/>
        <v>2026</v>
      </c>
      <c r="H47" s="7">
        <f t="shared" si="28"/>
        <v>2027</v>
      </c>
      <c r="I47" s="7">
        <f t="shared" si="28"/>
        <v>2028</v>
      </c>
      <c r="J47" s="7">
        <f t="shared" si="28"/>
        <v>2029</v>
      </c>
      <c r="K47" s="7">
        <f t="shared" si="28"/>
        <v>2030</v>
      </c>
      <c r="L47" s="7">
        <f t="shared" si="28"/>
        <v>2031</v>
      </c>
      <c r="M47" s="7">
        <f t="shared" si="28"/>
        <v>2032</v>
      </c>
      <c r="N47" s="7">
        <f t="shared" si="28"/>
        <v>2033</v>
      </c>
      <c r="O47" s="7">
        <f t="shared" si="28"/>
        <v>2034</v>
      </c>
      <c r="P47" s="7">
        <f t="shared" si="28"/>
        <v>2035</v>
      </c>
      <c r="Q47" s="7">
        <f t="shared" si="28"/>
        <v>2036</v>
      </c>
      <c r="R47" s="7">
        <f t="shared" si="28"/>
        <v>2037</v>
      </c>
      <c r="S47" s="7">
        <f t="shared" si="28"/>
        <v>2038</v>
      </c>
      <c r="T47" s="7">
        <f t="shared" si="28"/>
        <v>2039</v>
      </c>
      <c r="U47" s="7">
        <f t="shared" si="28"/>
        <v>2040</v>
      </c>
      <c r="V47" s="7">
        <f t="shared" si="28"/>
        <v>2041</v>
      </c>
      <c r="W47" s="7">
        <f t="shared" si="28"/>
        <v>2042</v>
      </c>
      <c r="X47" s="7">
        <f t="shared" si="28"/>
        <v>2043</v>
      </c>
      <c r="Y47" s="7">
        <f t="shared" si="28"/>
        <v>2044</v>
      </c>
      <c r="Z47" s="7">
        <f t="shared" si="28"/>
        <v>2045</v>
      </c>
      <c r="AA47" s="7">
        <f t="shared" si="28"/>
        <v>2046</v>
      </c>
      <c r="AB47" s="7">
        <f t="shared" si="28"/>
        <v>2047</v>
      </c>
      <c r="AC47" s="7">
        <f t="shared" si="28"/>
        <v>2048</v>
      </c>
      <c r="AD47" s="7">
        <f t="shared" si="28"/>
        <v>2049</v>
      </c>
      <c r="AE47" s="7">
        <f t="shared" si="28"/>
        <v>2050</v>
      </c>
      <c r="AF47" s="7">
        <f t="shared" si="28"/>
        <v>2051</v>
      </c>
      <c r="AG47" s="7">
        <f t="shared" ref="AG47" si="29">AG4</f>
        <v>2052</v>
      </c>
    </row>
    <row r="48" spans="2:33">
      <c r="B48" s="3" t="s">
        <v>244</v>
      </c>
      <c r="C48" s="180">
        <f t="shared" ref="C48:C55" si="30">SUM(D48:AG48)</f>
        <v>0</v>
      </c>
      <c r="D48" s="180">
        <f>'05 Financovanie - nájom'!D19</f>
        <v>0</v>
      </c>
      <c r="E48" s="180">
        <f>'05 Financovanie - nájom'!E19</f>
        <v>0</v>
      </c>
      <c r="F48" s="180">
        <f>'05 Financovanie - nájom'!F19</f>
        <v>0</v>
      </c>
      <c r="G48" s="180">
        <f>'05 Financovanie - nájom'!G19</f>
        <v>0</v>
      </c>
      <c r="H48" s="180">
        <f>'05 Financovanie - nájom'!H19</f>
        <v>0</v>
      </c>
      <c r="I48" s="180"/>
      <c r="J48" s="180"/>
      <c r="K48" s="180"/>
      <c r="L48" s="180"/>
      <c r="M48" s="180"/>
      <c r="N48" s="180"/>
      <c r="O48" s="180"/>
      <c r="P48" s="180"/>
      <c r="Q48" s="180"/>
      <c r="R48" s="180"/>
      <c r="S48" s="180"/>
      <c r="T48" s="180"/>
      <c r="U48" s="180"/>
      <c r="V48" s="180"/>
      <c r="W48" s="180"/>
      <c r="X48" s="180"/>
      <c r="Y48" s="180"/>
      <c r="Z48" s="180"/>
      <c r="AA48" s="180"/>
      <c r="AB48" s="180"/>
      <c r="AC48" s="180"/>
      <c r="AD48" s="180"/>
      <c r="AE48" s="180"/>
      <c r="AF48" s="180"/>
      <c r="AG48" s="180"/>
    </row>
    <row r="49" spans="2:33">
      <c r="B49" s="129" t="s">
        <v>249</v>
      </c>
      <c r="C49" s="204">
        <f t="shared" si="30"/>
        <v>1620216724.5130885</v>
      </c>
      <c r="D49" s="204">
        <f>'04 Prevádzkové príjmy - nájom'!D15</f>
        <v>13988620.180313874</v>
      </c>
      <c r="E49" s="204">
        <f>'04 Prevádzkové príjmy - nájom'!E15</f>
        <v>15146530.486155014</v>
      </c>
      <c r="F49" s="204">
        <f>'04 Prevádzkové príjmy - nájom'!F15</f>
        <v>16545392.504186399</v>
      </c>
      <c r="G49" s="204">
        <f>'04 Prevádzkové príjmy - nájom'!G15</f>
        <v>16786344.216376647</v>
      </c>
      <c r="H49" s="204">
        <f>'04 Prevádzkové príjmy - nájom'!H15</f>
        <v>33292076.71201067</v>
      </c>
      <c r="I49" s="204">
        <f>'04 Prevádzkové príjmy - nájom'!I15</f>
        <v>43863625.787736677</v>
      </c>
      <c r="J49" s="204">
        <f>'04 Prevádzkové príjmy - nájom'!J15</f>
        <v>46056807.077123508</v>
      </c>
      <c r="K49" s="204">
        <f>'04 Prevádzkové príjmy - nájom'!K15</f>
        <v>48359647.430979684</v>
      </c>
      <c r="L49" s="204">
        <f>'04 Prevádzkové príjmy - nájom'!L15</f>
        <v>50777629.802528672</v>
      </c>
      <c r="M49" s="204">
        <f>'04 Prevádzkové príjmy - nájom'!M15</f>
        <v>51793182.398579247</v>
      </c>
      <c r="N49" s="204">
        <f>'04 Prevádzkové príjmy - nájom'!N15</f>
        <v>52829046.046550833</v>
      </c>
      <c r="O49" s="204">
        <f>'04 Prevádzkové príjmy - nájom'!O15</f>
        <v>53885626.967481852</v>
      </c>
      <c r="P49" s="204">
        <f>'04 Prevádzkové príjmy - nájom'!P15</f>
        <v>54963339.506831497</v>
      </c>
      <c r="Q49" s="204">
        <f>'04 Prevádzkové príjmy - nájom'!Q15</f>
        <v>56062606.296968132</v>
      </c>
      <c r="R49" s="204">
        <f>'04 Prevádzkové príjmy - nájom'!R15</f>
        <v>57183858.422907494</v>
      </c>
      <c r="S49" s="204">
        <f>'04 Prevádzkové príjmy - nájom'!S15</f>
        <v>58327535.591365643</v>
      </c>
      <c r="T49" s="204">
        <f>'04 Prevádzkové príjmy - nájom'!T15</f>
        <v>59494086.303192958</v>
      </c>
      <c r="U49" s="204">
        <f>'04 Prevádzkové príjmy - nájom'!U15</f>
        <v>60683968.029256821</v>
      </c>
      <c r="V49" s="204">
        <f>'04 Prevádzkové príjmy - nájom'!V15</f>
        <v>61897647.389841959</v>
      </c>
      <c r="W49" s="204">
        <f>'04 Prevádzkové príjmy - nájom'!W15</f>
        <v>63135600.337638795</v>
      </c>
      <c r="X49" s="204">
        <f>'04 Prevádzkové príjmy - nájom'!X15</f>
        <v>64398312.344391577</v>
      </c>
      <c r="Y49" s="204">
        <f>'04 Prevádzkové príjmy - nájom'!Y15</f>
        <v>65686278.59127941</v>
      </c>
      <c r="Z49" s="204">
        <f>'04 Prevádzkové príjmy - nájom'!Z15</f>
        <v>67000004.163104996</v>
      </c>
      <c r="AA49" s="204">
        <f>'04 Prevádzkové príjmy - nájom'!AA15</f>
        <v>68340004.246367097</v>
      </c>
      <c r="AB49" s="204">
        <f>'04 Prevádzkové príjmy - nájom'!AB15</f>
        <v>69706804.331294447</v>
      </c>
      <c r="AC49" s="204">
        <f>'04 Prevádzkové príjmy - nájom'!AC15</f>
        <v>71100940.417920336</v>
      </c>
      <c r="AD49" s="204">
        <f>'04 Prevádzkové príjmy - nájom'!AD15</f>
        <v>72522959.226278737</v>
      </c>
      <c r="AE49" s="204">
        <f>'04 Prevádzkové príjmy - nájom'!AE15</f>
        <v>73973418.410804316</v>
      </c>
      <c r="AF49" s="204">
        <f>'04 Prevádzkové príjmy - nájom'!AF15</f>
        <v>75452886.779020399</v>
      </c>
      <c r="AG49" s="204">
        <f>'04 Prevádzkové príjmy - nájom'!AG15</f>
        <v>76961944.514600813</v>
      </c>
    </row>
    <row r="50" spans="2:33">
      <c r="B50" s="4" t="s">
        <v>11</v>
      </c>
      <c r="C50" s="184">
        <f t="shared" si="30"/>
        <v>1620216724.5130885</v>
      </c>
      <c r="D50" s="184">
        <f>SUM(D48:D49)</f>
        <v>13988620.180313874</v>
      </c>
      <c r="E50" s="184">
        <f t="shared" ref="E50" si="31">SUM(E48:E49)</f>
        <v>15146530.486155014</v>
      </c>
      <c r="F50" s="184">
        <f t="shared" ref="F50" si="32">SUM(F48:F49)</f>
        <v>16545392.504186399</v>
      </c>
      <c r="G50" s="184">
        <f t="shared" ref="G50" si="33">SUM(G48:G49)</f>
        <v>16786344.216376647</v>
      </c>
      <c r="H50" s="184">
        <f t="shared" ref="H50" si="34">SUM(H48:H49)</f>
        <v>33292076.71201067</v>
      </c>
      <c r="I50" s="184">
        <f t="shared" ref="I50" si="35">SUM(I48:I49)</f>
        <v>43863625.787736677</v>
      </c>
      <c r="J50" s="184">
        <f t="shared" ref="J50" si="36">SUM(J48:J49)</f>
        <v>46056807.077123508</v>
      </c>
      <c r="K50" s="184">
        <f t="shared" ref="K50" si="37">SUM(K48:K49)</f>
        <v>48359647.430979684</v>
      </c>
      <c r="L50" s="184">
        <f t="shared" ref="L50" si="38">SUM(L48:L49)</f>
        <v>50777629.802528672</v>
      </c>
      <c r="M50" s="184">
        <f t="shared" ref="M50" si="39">SUM(M48:M49)</f>
        <v>51793182.398579247</v>
      </c>
      <c r="N50" s="184">
        <f t="shared" ref="N50" si="40">SUM(N48:N49)</f>
        <v>52829046.046550833</v>
      </c>
      <c r="O50" s="184">
        <f t="shared" ref="O50" si="41">SUM(O48:O49)</f>
        <v>53885626.967481852</v>
      </c>
      <c r="P50" s="184">
        <f t="shared" ref="P50" si="42">SUM(P48:P49)</f>
        <v>54963339.506831497</v>
      </c>
      <c r="Q50" s="184">
        <f t="shared" ref="Q50" si="43">SUM(Q48:Q49)</f>
        <v>56062606.296968132</v>
      </c>
      <c r="R50" s="184">
        <f t="shared" ref="R50" si="44">SUM(R48:R49)</f>
        <v>57183858.422907494</v>
      </c>
      <c r="S50" s="184">
        <f t="shared" ref="S50" si="45">SUM(S48:S49)</f>
        <v>58327535.591365643</v>
      </c>
      <c r="T50" s="184">
        <f t="shared" ref="T50" si="46">SUM(T48:T49)</f>
        <v>59494086.303192958</v>
      </c>
      <c r="U50" s="184">
        <f t="shared" ref="U50" si="47">SUM(U48:U49)</f>
        <v>60683968.029256821</v>
      </c>
      <c r="V50" s="184">
        <f t="shared" ref="V50" si="48">SUM(V48:V49)</f>
        <v>61897647.389841959</v>
      </c>
      <c r="W50" s="184">
        <f t="shared" ref="W50" si="49">SUM(W48:W49)</f>
        <v>63135600.337638795</v>
      </c>
      <c r="X50" s="184">
        <f t="shared" ref="X50" si="50">SUM(X48:X49)</f>
        <v>64398312.344391577</v>
      </c>
      <c r="Y50" s="184">
        <f t="shared" ref="Y50" si="51">SUM(Y48:Y49)</f>
        <v>65686278.59127941</v>
      </c>
      <c r="Z50" s="184">
        <f t="shared" ref="Z50" si="52">SUM(Z48:Z49)</f>
        <v>67000004.163104996</v>
      </c>
      <c r="AA50" s="184">
        <f t="shared" ref="AA50" si="53">SUM(AA48:AA49)</f>
        <v>68340004.246367097</v>
      </c>
      <c r="AB50" s="184">
        <f t="shared" ref="AB50" si="54">SUM(AB48:AB49)</f>
        <v>69706804.331294447</v>
      </c>
      <c r="AC50" s="184">
        <f t="shared" ref="AC50" si="55">SUM(AC48:AC49)</f>
        <v>71100940.417920336</v>
      </c>
      <c r="AD50" s="184">
        <f t="shared" ref="AD50" si="56">SUM(AD48:AD49)</f>
        <v>72522959.226278737</v>
      </c>
      <c r="AE50" s="184">
        <f t="shared" ref="AE50" si="57">SUM(AE48:AE49)</f>
        <v>73973418.410804316</v>
      </c>
      <c r="AF50" s="184">
        <f t="shared" ref="AF50:AG50" si="58">SUM(AF48:AF49)</f>
        <v>75452886.779020399</v>
      </c>
      <c r="AG50" s="184">
        <f t="shared" si="58"/>
        <v>76961944.514600813</v>
      </c>
    </row>
    <row r="51" spans="2:33">
      <c r="B51" s="3" t="s">
        <v>60</v>
      </c>
      <c r="C51" s="180">
        <f t="shared" si="30"/>
        <v>0</v>
      </c>
      <c r="D51" s="180">
        <f>D5</f>
        <v>0</v>
      </c>
      <c r="E51" s="180">
        <f t="shared" ref="E51:H51" si="59">E5</f>
        <v>0</v>
      </c>
      <c r="F51" s="180">
        <f t="shared" si="59"/>
        <v>0</v>
      </c>
      <c r="G51" s="180">
        <f t="shared" si="59"/>
        <v>0</v>
      </c>
      <c r="H51" s="180">
        <f t="shared" si="59"/>
        <v>0</v>
      </c>
      <c r="I51" s="180"/>
      <c r="J51" s="180"/>
      <c r="K51" s="180"/>
      <c r="L51" s="180"/>
      <c r="M51" s="180"/>
      <c r="N51" s="180"/>
      <c r="O51" s="180"/>
      <c r="P51" s="180"/>
      <c r="Q51" s="180"/>
      <c r="R51" s="180"/>
      <c r="S51" s="180"/>
      <c r="T51" s="180"/>
      <c r="U51" s="180"/>
      <c r="V51" s="180"/>
      <c r="W51" s="180"/>
      <c r="X51" s="180"/>
      <c r="Y51" s="180"/>
      <c r="Z51" s="180"/>
      <c r="AA51" s="180"/>
      <c r="AB51" s="180"/>
      <c r="AC51" s="180"/>
      <c r="AD51" s="180"/>
      <c r="AE51" s="180"/>
      <c r="AF51" s="180"/>
      <c r="AG51" s="180"/>
    </row>
    <row r="52" spans="2:33">
      <c r="B52" s="129" t="s">
        <v>248</v>
      </c>
      <c r="C52" s="204">
        <f t="shared" si="30"/>
        <v>3936305970</v>
      </c>
      <c r="D52" s="204">
        <f>'03 Prevádzkové výdavky prenájom'!D21</f>
        <v>91455460</v>
      </c>
      <c r="E52" s="204">
        <f>'03 Prevádzkové výdavky prenájom'!E21</f>
        <v>91455460</v>
      </c>
      <c r="F52" s="204">
        <f>'03 Prevádzkové výdavky prenájom'!F21</f>
        <v>90805420</v>
      </c>
      <c r="G52" s="204">
        <f>'03 Prevádzkové výdavky prenájom'!G21</f>
        <v>96503980</v>
      </c>
      <c r="H52" s="204">
        <f>'03 Prevádzkové výdavky prenájom'!H21</f>
        <v>116523150</v>
      </c>
      <c r="I52" s="204">
        <f>'03 Prevádzkové výdavky prenájom'!I21</f>
        <v>137982500</v>
      </c>
      <c r="J52" s="204">
        <f>'03 Prevádzkové výdavky prenájom'!J21</f>
        <v>137982500</v>
      </c>
      <c r="K52" s="204">
        <f>'03 Prevádzkové výdavky prenájom'!K21</f>
        <v>137982500</v>
      </c>
      <c r="L52" s="204">
        <f>'03 Prevádzkové výdavky prenájom'!L21</f>
        <v>137982500</v>
      </c>
      <c r="M52" s="204">
        <f>'03 Prevádzkové výdavky prenájom'!M21</f>
        <v>137982500</v>
      </c>
      <c r="N52" s="204">
        <f>'03 Prevádzkové výdavky prenájom'!N21</f>
        <v>137982500</v>
      </c>
      <c r="O52" s="204">
        <f>'03 Prevádzkové výdavky prenájom'!O21</f>
        <v>137982500</v>
      </c>
      <c r="P52" s="204">
        <f>'03 Prevádzkové výdavky prenájom'!P21</f>
        <v>137982500</v>
      </c>
      <c r="Q52" s="204">
        <f>'03 Prevádzkové výdavky prenájom'!Q21</f>
        <v>137982500</v>
      </c>
      <c r="R52" s="204">
        <f>'03 Prevádzkové výdavky prenájom'!R21</f>
        <v>137982500</v>
      </c>
      <c r="S52" s="204">
        <f>'03 Prevádzkové výdavky prenájom'!S21</f>
        <v>137982500</v>
      </c>
      <c r="T52" s="204">
        <f>'03 Prevádzkové výdavky prenájom'!T21</f>
        <v>137982500</v>
      </c>
      <c r="U52" s="204">
        <f>'03 Prevádzkové výdavky prenájom'!U21</f>
        <v>137982500</v>
      </c>
      <c r="V52" s="204">
        <f>'03 Prevádzkové výdavky prenájom'!V21</f>
        <v>137982500</v>
      </c>
      <c r="W52" s="204">
        <f>'03 Prevádzkové výdavky prenájom'!W21</f>
        <v>137982500</v>
      </c>
      <c r="X52" s="204">
        <f>'03 Prevádzkové výdavky prenájom'!X21</f>
        <v>137982500</v>
      </c>
      <c r="Y52" s="204">
        <f>'03 Prevádzkové výdavky prenájom'!Y21</f>
        <v>137982500</v>
      </c>
      <c r="Z52" s="204">
        <f>'03 Prevádzkové výdavky prenájom'!Z21</f>
        <v>137982500</v>
      </c>
      <c r="AA52" s="204">
        <f>'03 Prevádzkové výdavky prenájom'!AA21</f>
        <v>137982500</v>
      </c>
      <c r="AB52" s="204">
        <f>'03 Prevádzkové výdavky prenájom'!AB21</f>
        <v>137982500</v>
      </c>
      <c r="AC52" s="204">
        <f>'03 Prevádzkové výdavky prenájom'!AC21</f>
        <v>137982500</v>
      </c>
      <c r="AD52" s="204">
        <f>'03 Prevádzkové výdavky prenájom'!AD21</f>
        <v>137982500</v>
      </c>
      <c r="AE52" s="204">
        <f>'03 Prevádzkové výdavky prenájom'!AE21</f>
        <v>137982500</v>
      </c>
      <c r="AF52" s="204">
        <f>'03 Prevádzkové výdavky prenájom'!AF21</f>
        <v>137982500</v>
      </c>
      <c r="AG52" s="204">
        <f>'03 Prevádzkové výdavky prenájom'!AG21</f>
        <v>137982500</v>
      </c>
    </row>
    <row r="53" spans="2:33">
      <c r="B53" s="3" t="s">
        <v>234</v>
      </c>
      <c r="C53" s="180">
        <f t="shared" si="30"/>
        <v>0</v>
      </c>
      <c r="D53" s="180">
        <f>D20</f>
        <v>0</v>
      </c>
      <c r="E53" s="180">
        <f t="shared" ref="E53:AF53" si="60">E20</f>
        <v>0</v>
      </c>
      <c r="F53" s="180">
        <f t="shared" si="60"/>
        <v>0</v>
      </c>
      <c r="G53" s="180">
        <f t="shared" si="60"/>
        <v>0</v>
      </c>
      <c r="H53" s="180">
        <f t="shared" si="60"/>
        <v>0</v>
      </c>
      <c r="I53" s="180">
        <f t="shared" si="60"/>
        <v>0</v>
      </c>
      <c r="J53" s="180">
        <f t="shared" si="60"/>
        <v>0</v>
      </c>
      <c r="K53" s="180">
        <f t="shared" si="60"/>
        <v>0</v>
      </c>
      <c r="L53" s="180">
        <f t="shared" si="60"/>
        <v>0</v>
      </c>
      <c r="M53" s="180">
        <f t="shared" si="60"/>
        <v>0</v>
      </c>
      <c r="N53" s="180">
        <f t="shared" si="60"/>
        <v>0</v>
      </c>
      <c r="O53" s="180">
        <f t="shared" si="60"/>
        <v>0</v>
      </c>
      <c r="P53" s="180">
        <f t="shared" si="60"/>
        <v>0</v>
      </c>
      <c r="Q53" s="180">
        <f t="shared" si="60"/>
        <v>0</v>
      </c>
      <c r="R53" s="180">
        <f t="shared" si="60"/>
        <v>0</v>
      </c>
      <c r="S53" s="180">
        <f t="shared" si="60"/>
        <v>0</v>
      </c>
      <c r="T53" s="180">
        <f t="shared" si="60"/>
        <v>0</v>
      </c>
      <c r="U53" s="180">
        <f t="shared" si="60"/>
        <v>0</v>
      </c>
      <c r="V53" s="180">
        <f t="shared" si="60"/>
        <v>0</v>
      </c>
      <c r="W53" s="180">
        <f t="shared" si="60"/>
        <v>0</v>
      </c>
      <c r="X53" s="180">
        <f t="shared" si="60"/>
        <v>0</v>
      </c>
      <c r="Y53" s="180">
        <f t="shared" si="60"/>
        <v>0</v>
      </c>
      <c r="Z53" s="180">
        <f t="shared" si="60"/>
        <v>0</v>
      </c>
      <c r="AA53" s="180">
        <f t="shared" si="60"/>
        <v>0</v>
      </c>
      <c r="AB53" s="180">
        <f t="shared" si="60"/>
        <v>0</v>
      </c>
      <c r="AC53" s="180">
        <f t="shared" si="60"/>
        <v>0</v>
      </c>
      <c r="AD53" s="180">
        <f t="shared" si="60"/>
        <v>0</v>
      </c>
      <c r="AE53" s="180">
        <f t="shared" si="60"/>
        <v>0</v>
      </c>
      <c r="AF53" s="180">
        <f t="shared" si="60"/>
        <v>0</v>
      </c>
      <c r="AG53" s="180">
        <f t="shared" ref="AG53" si="61">AG20</f>
        <v>0</v>
      </c>
    </row>
    <row r="54" spans="2:33">
      <c r="B54" s="4" t="s">
        <v>23</v>
      </c>
      <c r="C54" s="184">
        <f t="shared" si="30"/>
        <v>3936305970</v>
      </c>
      <c r="D54" s="184">
        <f>SUM(D51:D53)</f>
        <v>91455460</v>
      </c>
      <c r="E54" s="184">
        <f t="shared" ref="E54" si="62">SUM(E51:E53)</f>
        <v>91455460</v>
      </c>
      <c r="F54" s="184">
        <f t="shared" ref="F54" si="63">SUM(F51:F53)</f>
        <v>90805420</v>
      </c>
      <c r="G54" s="184">
        <f t="shared" ref="G54" si="64">SUM(G51:G53)</f>
        <v>96503980</v>
      </c>
      <c r="H54" s="184">
        <f t="shared" ref="H54" si="65">SUM(H51:H53)</f>
        <v>116523150</v>
      </c>
      <c r="I54" s="184">
        <f t="shared" ref="I54" si="66">SUM(I51:I53)</f>
        <v>137982500</v>
      </c>
      <c r="J54" s="184">
        <f t="shared" ref="J54" si="67">SUM(J51:J53)</f>
        <v>137982500</v>
      </c>
      <c r="K54" s="184">
        <f t="shared" ref="K54" si="68">SUM(K51:K53)</f>
        <v>137982500</v>
      </c>
      <c r="L54" s="184">
        <f t="shared" ref="L54" si="69">SUM(L51:L53)</f>
        <v>137982500</v>
      </c>
      <c r="M54" s="184">
        <f t="shared" ref="M54" si="70">SUM(M51:M53)</f>
        <v>137982500</v>
      </c>
      <c r="N54" s="184">
        <f t="shared" ref="N54" si="71">SUM(N51:N53)</f>
        <v>137982500</v>
      </c>
      <c r="O54" s="184">
        <f t="shared" ref="O54" si="72">SUM(O51:O53)</f>
        <v>137982500</v>
      </c>
      <c r="P54" s="184">
        <f t="shared" ref="P54" si="73">SUM(P51:P53)</f>
        <v>137982500</v>
      </c>
      <c r="Q54" s="184">
        <f t="shared" ref="Q54" si="74">SUM(Q51:Q53)</f>
        <v>137982500</v>
      </c>
      <c r="R54" s="184">
        <f t="shared" ref="R54" si="75">SUM(R51:R53)</f>
        <v>137982500</v>
      </c>
      <c r="S54" s="184">
        <f t="shared" ref="S54" si="76">SUM(S51:S53)</f>
        <v>137982500</v>
      </c>
      <c r="T54" s="184">
        <f t="shared" ref="T54" si="77">SUM(T51:T53)</f>
        <v>137982500</v>
      </c>
      <c r="U54" s="184">
        <f t="shared" ref="U54" si="78">SUM(U51:U53)</f>
        <v>137982500</v>
      </c>
      <c r="V54" s="184">
        <f t="shared" ref="V54" si="79">SUM(V51:V53)</f>
        <v>137982500</v>
      </c>
      <c r="W54" s="184">
        <f t="shared" ref="W54" si="80">SUM(W51:W53)</f>
        <v>137982500</v>
      </c>
      <c r="X54" s="184">
        <f t="shared" ref="X54" si="81">SUM(X51:X53)</f>
        <v>137982500</v>
      </c>
      <c r="Y54" s="184">
        <f t="shared" ref="Y54" si="82">SUM(Y51:Y53)</f>
        <v>137982500</v>
      </c>
      <c r="Z54" s="184">
        <f t="shared" ref="Z54" si="83">SUM(Z51:Z53)</f>
        <v>137982500</v>
      </c>
      <c r="AA54" s="184">
        <f t="shared" ref="AA54" si="84">SUM(AA51:AA53)</f>
        <v>137982500</v>
      </c>
      <c r="AB54" s="184">
        <f t="shared" ref="AB54" si="85">SUM(AB51:AB53)</f>
        <v>137982500</v>
      </c>
      <c r="AC54" s="184">
        <f t="shared" ref="AC54" si="86">SUM(AC51:AC53)</f>
        <v>137982500</v>
      </c>
      <c r="AD54" s="184">
        <f t="shared" ref="AD54" si="87">SUM(AD51:AD53)</f>
        <v>137982500</v>
      </c>
      <c r="AE54" s="184">
        <f t="shared" ref="AE54" si="88">SUM(AE51:AE53)</f>
        <v>137982500</v>
      </c>
      <c r="AF54" s="184">
        <f t="shared" ref="AF54:AG54" si="89">SUM(AF51:AF53)</f>
        <v>137982500</v>
      </c>
      <c r="AG54" s="184">
        <f t="shared" si="89"/>
        <v>137982500</v>
      </c>
    </row>
    <row r="55" spans="2:33">
      <c r="B55" s="128" t="s">
        <v>46</v>
      </c>
      <c r="C55" s="202">
        <f t="shared" si="30"/>
        <v>-2316089245.4869108</v>
      </c>
      <c r="D55" s="202">
        <f>D50-D54</f>
        <v>-77466839.81968613</v>
      </c>
      <c r="E55" s="202">
        <f t="shared" ref="E55:AF55" si="90">E50-E54</f>
        <v>-76308929.513844982</v>
      </c>
      <c r="F55" s="202">
        <f t="shared" si="90"/>
        <v>-74260027.495813608</v>
      </c>
      <c r="G55" s="202">
        <f t="shared" si="90"/>
        <v>-79717635.783623353</v>
      </c>
      <c r="H55" s="202">
        <f t="shared" si="90"/>
        <v>-83231073.287989333</v>
      </c>
      <c r="I55" s="202">
        <f t="shared" si="90"/>
        <v>-94118874.212263316</v>
      </c>
      <c r="J55" s="202">
        <f t="shared" si="90"/>
        <v>-91925692.922876492</v>
      </c>
      <c r="K55" s="202">
        <f t="shared" si="90"/>
        <v>-89622852.569020316</v>
      </c>
      <c r="L55" s="202">
        <f t="shared" si="90"/>
        <v>-87204870.197471321</v>
      </c>
      <c r="M55" s="202">
        <f t="shared" si="90"/>
        <v>-86189317.60142076</v>
      </c>
      <c r="N55" s="202">
        <f t="shared" si="90"/>
        <v>-85153453.95344916</v>
      </c>
      <c r="O55" s="202">
        <f t="shared" si="90"/>
        <v>-84096873.032518148</v>
      </c>
      <c r="P55" s="202">
        <f t="shared" si="90"/>
        <v>-83019160.493168503</v>
      </c>
      <c r="Q55" s="202">
        <f t="shared" si="90"/>
        <v>-81919893.703031868</v>
      </c>
      <c r="R55" s="202">
        <f t="shared" si="90"/>
        <v>-80798641.577092499</v>
      </c>
      <c r="S55" s="202">
        <f t="shared" si="90"/>
        <v>-79654964.408634365</v>
      </c>
      <c r="T55" s="202">
        <f t="shared" si="90"/>
        <v>-78488413.696807042</v>
      </c>
      <c r="U55" s="202">
        <f t="shared" si="90"/>
        <v>-77298531.970743179</v>
      </c>
      <c r="V55" s="202">
        <f t="shared" si="90"/>
        <v>-76084852.610158041</v>
      </c>
      <c r="W55" s="202">
        <f t="shared" si="90"/>
        <v>-74846899.662361205</v>
      </c>
      <c r="X55" s="202">
        <f t="shared" si="90"/>
        <v>-73584187.655608416</v>
      </c>
      <c r="Y55" s="202">
        <f t="shared" si="90"/>
        <v>-72296221.408720583</v>
      </c>
      <c r="Z55" s="202">
        <f t="shared" si="90"/>
        <v>-70982495.836895004</v>
      </c>
      <c r="AA55" s="202">
        <f t="shared" si="90"/>
        <v>-69642495.753632903</v>
      </c>
      <c r="AB55" s="202">
        <f t="shared" si="90"/>
        <v>-68275695.668705553</v>
      </c>
      <c r="AC55" s="202">
        <f t="shared" si="90"/>
        <v>-66881559.582079664</v>
      </c>
      <c r="AD55" s="202">
        <f t="shared" si="90"/>
        <v>-65459540.773721263</v>
      </c>
      <c r="AE55" s="202">
        <f t="shared" si="90"/>
        <v>-64009081.589195684</v>
      </c>
      <c r="AF55" s="202">
        <f t="shared" si="90"/>
        <v>-62529613.220979601</v>
      </c>
      <c r="AG55" s="202">
        <f t="shared" ref="AG55" si="91">AG50-AG54</f>
        <v>-61020555.485399187</v>
      </c>
    </row>
    <row r="56" spans="2:33">
      <c r="B56" s="3" t="s">
        <v>24</v>
      </c>
      <c r="C56" s="184"/>
      <c r="D56" s="180">
        <f>D55</f>
        <v>-77466839.81968613</v>
      </c>
      <c r="E56" s="180">
        <f>D56+E55</f>
        <v>-153775769.33353111</v>
      </c>
      <c r="F56" s="180">
        <f t="shared" ref="F56" si="92">E56+F55</f>
        <v>-228035796.82934472</v>
      </c>
      <c r="G56" s="180">
        <f t="shared" ref="G56" si="93">F56+G55</f>
        <v>-307753432.61296809</v>
      </c>
      <c r="H56" s="180">
        <f t="shared" ref="H56" si="94">G56+H55</f>
        <v>-390984505.90095741</v>
      </c>
      <c r="I56" s="180">
        <f t="shared" ref="I56" si="95">H56+I55</f>
        <v>-485103380.11322069</v>
      </c>
      <c r="J56" s="180">
        <f t="shared" ref="J56" si="96">I56+J55</f>
        <v>-577029073.03609717</v>
      </c>
      <c r="K56" s="180">
        <f t="shared" ref="K56" si="97">J56+K55</f>
        <v>-666651925.60511744</v>
      </c>
      <c r="L56" s="180">
        <f t="shared" ref="L56" si="98">K56+L55</f>
        <v>-753856795.8025887</v>
      </c>
      <c r="M56" s="180">
        <f t="shared" ref="M56" si="99">L56+M55</f>
        <v>-840046113.40400946</v>
      </c>
      <c r="N56" s="180">
        <f t="shared" ref="N56" si="100">M56+N55</f>
        <v>-925199567.35745859</v>
      </c>
      <c r="O56" s="180">
        <f t="shared" ref="O56" si="101">N56+O55</f>
        <v>-1009296440.3899767</v>
      </c>
      <c r="P56" s="180">
        <f t="shared" ref="P56" si="102">O56+P55</f>
        <v>-1092315600.8831453</v>
      </c>
      <c r="Q56" s="180">
        <f t="shared" ref="Q56" si="103">P56+Q55</f>
        <v>-1174235494.5861771</v>
      </c>
      <c r="R56" s="180">
        <f t="shared" ref="R56" si="104">Q56+R55</f>
        <v>-1255034136.1632695</v>
      </c>
      <c r="S56" s="180">
        <f t="shared" ref="S56" si="105">R56+S55</f>
        <v>-1334689100.5719039</v>
      </c>
      <c r="T56" s="180">
        <f t="shared" ref="T56" si="106">S56+T55</f>
        <v>-1413177514.2687111</v>
      </c>
      <c r="U56" s="180">
        <f t="shared" ref="U56" si="107">T56+U55</f>
        <v>-1490476046.2394543</v>
      </c>
      <c r="V56" s="180">
        <f t="shared" ref="V56" si="108">U56+V55</f>
        <v>-1566560898.8496122</v>
      </c>
      <c r="W56" s="180">
        <f t="shared" ref="W56" si="109">V56+W55</f>
        <v>-1641407798.5119734</v>
      </c>
      <c r="X56" s="180">
        <f t="shared" ref="X56" si="110">W56+X55</f>
        <v>-1714991986.1675818</v>
      </c>
      <c r="Y56" s="180">
        <f t="shared" ref="Y56" si="111">X56+Y55</f>
        <v>-1787288207.5763023</v>
      </c>
      <c r="Z56" s="180">
        <f t="shared" ref="Z56" si="112">Y56+Z55</f>
        <v>-1858270703.4131973</v>
      </c>
      <c r="AA56" s="180">
        <f t="shared" ref="AA56" si="113">Z56+AA55</f>
        <v>-1927913199.1668301</v>
      </c>
      <c r="AB56" s="180">
        <f t="shared" ref="AB56" si="114">AA56+AB55</f>
        <v>-1996188894.8355355</v>
      </c>
      <c r="AC56" s="180">
        <f t="shared" ref="AC56" si="115">AB56+AC55</f>
        <v>-2063070454.4176152</v>
      </c>
      <c r="AD56" s="180">
        <f t="shared" ref="AD56" si="116">AC56+AD55</f>
        <v>-2128529995.1913364</v>
      </c>
      <c r="AE56" s="180">
        <f t="shared" ref="AE56" si="117">AD56+AE55</f>
        <v>-2192539076.7805319</v>
      </c>
      <c r="AF56" s="180">
        <f t="shared" ref="AF56" si="118">AE56+AF55</f>
        <v>-2255068690.0015116</v>
      </c>
      <c r="AG56" s="180">
        <f t="shared" ref="AG56" si="119">AF56+AG55</f>
        <v>-2316089245.4869108</v>
      </c>
    </row>
    <row r="57" spans="2:33">
      <c r="B57" s="3" t="s">
        <v>246</v>
      </c>
      <c r="C57" s="184">
        <f>SUM(D57:AG57)</f>
        <v>37623046683.316551</v>
      </c>
      <c r="D57" s="182">
        <f>IF(D56&lt;0,-D56,0)</f>
        <v>77466839.81968613</v>
      </c>
      <c r="E57" s="182">
        <f t="shared" ref="E57:AF57" si="120">IF(E56&lt;0,-E56,0)</f>
        <v>153775769.33353111</v>
      </c>
      <c r="F57" s="182">
        <f t="shared" si="120"/>
        <v>228035796.82934472</v>
      </c>
      <c r="G57" s="182">
        <f t="shared" si="120"/>
        <v>307753432.61296809</v>
      </c>
      <c r="H57" s="182">
        <f t="shared" si="120"/>
        <v>390984505.90095741</v>
      </c>
      <c r="I57" s="182">
        <f t="shared" si="120"/>
        <v>485103380.11322069</v>
      </c>
      <c r="J57" s="182">
        <f t="shared" si="120"/>
        <v>577029073.03609717</v>
      </c>
      <c r="K57" s="182">
        <f t="shared" si="120"/>
        <v>666651925.60511744</v>
      </c>
      <c r="L57" s="182">
        <f t="shared" si="120"/>
        <v>753856795.8025887</v>
      </c>
      <c r="M57" s="182">
        <f t="shared" si="120"/>
        <v>840046113.40400946</v>
      </c>
      <c r="N57" s="182">
        <f t="shared" si="120"/>
        <v>925199567.35745859</v>
      </c>
      <c r="O57" s="182">
        <f t="shared" si="120"/>
        <v>1009296440.3899767</v>
      </c>
      <c r="P57" s="182">
        <f t="shared" si="120"/>
        <v>1092315600.8831453</v>
      </c>
      <c r="Q57" s="182">
        <f t="shared" si="120"/>
        <v>1174235494.5861771</v>
      </c>
      <c r="R57" s="182">
        <f t="shared" si="120"/>
        <v>1255034136.1632695</v>
      </c>
      <c r="S57" s="182">
        <f t="shared" si="120"/>
        <v>1334689100.5719039</v>
      </c>
      <c r="T57" s="182">
        <f t="shared" si="120"/>
        <v>1413177514.2687111</v>
      </c>
      <c r="U57" s="182">
        <f t="shared" si="120"/>
        <v>1490476046.2394543</v>
      </c>
      <c r="V57" s="182">
        <f t="shared" si="120"/>
        <v>1566560898.8496122</v>
      </c>
      <c r="W57" s="182">
        <f t="shared" si="120"/>
        <v>1641407798.5119734</v>
      </c>
      <c r="X57" s="182">
        <f t="shared" si="120"/>
        <v>1714991986.1675818</v>
      </c>
      <c r="Y57" s="182">
        <f t="shared" si="120"/>
        <v>1787288207.5763023</v>
      </c>
      <c r="Z57" s="182">
        <f t="shared" si="120"/>
        <v>1858270703.4131973</v>
      </c>
      <c r="AA57" s="182">
        <f t="shared" si="120"/>
        <v>1927913199.1668301</v>
      </c>
      <c r="AB57" s="182">
        <f t="shared" si="120"/>
        <v>1996188894.8355355</v>
      </c>
      <c r="AC57" s="182">
        <f t="shared" si="120"/>
        <v>2063070454.4176152</v>
      </c>
      <c r="AD57" s="182">
        <f t="shared" si="120"/>
        <v>2128529995.1913364</v>
      </c>
      <c r="AE57" s="182">
        <f t="shared" si="120"/>
        <v>2192539076.7805319</v>
      </c>
      <c r="AF57" s="182">
        <f t="shared" si="120"/>
        <v>2255068690.0015116</v>
      </c>
      <c r="AG57" s="182">
        <f t="shared" ref="AG57" si="121">IF(AG56&lt;0,-AG56,0)</f>
        <v>2316089245.4869108</v>
      </c>
    </row>
    <row r="58" spans="2:33">
      <c r="B58" s="24" t="s">
        <v>247</v>
      </c>
      <c r="C58" s="203"/>
      <c r="D58" s="203">
        <f>D56+D57</f>
        <v>0</v>
      </c>
      <c r="E58" s="203">
        <f t="shared" ref="E58" si="122">E56+E57</f>
        <v>0</v>
      </c>
      <c r="F58" s="203">
        <f t="shared" ref="F58" si="123">F56+F57</f>
        <v>0</v>
      </c>
      <c r="G58" s="203">
        <f t="shared" ref="G58" si="124">G56+G57</f>
        <v>0</v>
      </c>
      <c r="H58" s="203">
        <f t="shared" ref="H58" si="125">H56+H57</f>
        <v>0</v>
      </c>
      <c r="I58" s="203">
        <f t="shared" ref="I58" si="126">I56+I57</f>
        <v>0</v>
      </c>
      <c r="J58" s="203">
        <f t="shared" ref="J58" si="127">J56+J57</f>
        <v>0</v>
      </c>
      <c r="K58" s="203">
        <f t="shared" ref="K58" si="128">K56+K57</f>
        <v>0</v>
      </c>
      <c r="L58" s="203">
        <f t="shared" ref="L58" si="129">L56+L57</f>
        <v>0</v>
      </c>
      <c r="M58" s="203">
        <f t="shared" ref="M58" si="130">M56+M57</f>
        <v>0</v>
      </c>
      <c r="N58" s="203">
        <f t="shared" ref="N58" si="131">N56+N57</f>
        <v>0</v>
      </c>
      <c r="O58" s="203">
        <f t="shared" ref="O58" si="132">O56+O57</f>
        <v>0</v>
      </c>
      <c r="P58" s="203">
        <f t="shared" ref="P58" si="133">P56+P57</f>
        <v>0</v>
      </c>
      <c r="Q58" s="203">
        <f t="shared" ref="Q58" si="134">Q56+Q57</f>
        <v>0</v>
      </c>
      <c r="R58" s="203">
        <f t="shared" ref="R58" si="135">R56+R57</f>
        <v>0</v>
      </c>
      <c r="S58" s="203">
        <f t="shared" ref="S58" si="136">S56+S57</f>
        <v>0</v>
      </c>
      <c r="T58" s="203">
        <f t="shared" ref="T58" si="137">T56+T57</f>
        <v>0</v>
      </c>
      <c r="U58" s="203">
        <f t="shared" ref="U58" si="138">U56+U57</f>
        <v>0</v>
      </c>
      <c r="V58" s="203">
        <f t="shared" ref="V58" si="139">V56+V57</f>
        <v>0</v>
      </c>
      <c r="W58" s="203">
        <f t="shared" ref="W58" si="140">W56+W57</f>
        <v>0</v>
      </c>
      <c r="X58" s="203">
        <f t="shared" ref="X58" si="141">X56+X57</f>
        <v>0</v>
      </c>
      <c r="Y58" s="203">
        <f t="shared" ref="Y58" si="142">Y56+Y57</f>
        <v>0</v>
      </c>
      <c r="Z58" s="203">
        <f t="shared" ref="Z58" si="143">Z56+Z57</f>
        <v>0</v>
      </c>
      <c r="AA58" s="203">
        <f t="shared" ref="AA58" si="144">AA56+AA57</f>
        <v>0</v>
      </c>
      <c r="AB58" s="203">
        <f t="shared" ref="AB58" si="145">AB56+AB57</f>
        <v>0</v>
      </c>
      <c r="AC58" s="203">
        <f t="shared" ref="AC58" si="146">AC56+AC57</f>
        <v>0</v>
      </c>
      <c r="AD58" s="203">
        <f t="shared" ref="AD58" si="147">AD56+AD57</f>
        <v>0</v>
      </c>
      <c r="AE58" s="203">
        <f t="shared" ref="AE58" si="148">AE56+AE57</f>
        <v>0</v>
      </c>
      <c r="AF58" s="203">
        <f t="shared" ref="AF58:AG58" si="149">AF56+AF57</f>
        <v>0</v>
      </c>
      <c r="AG58" s="203">
        <f t="shared" si="149"/>
        <v>0</v>
      </c>
    </row>
    <row r="60" spans="2:33">
      <c r="B60" s="1" t="s">
        <v>274</v>
      </c>
    </row>
  </sheetData>
  <sheetProtection algorithmName="SHA-512" hashValue="dKpIHBhMz3PjhB+t7c/zn6nFODfAw1lpAtkXWRuf61HIycsNq70P9z5LEp4nUMq28ieGDv/CH7hH0FJdrByGSQ==" saltValue="rcLsnuh+nyIOmJOdm4jMaw==" spinCount="100000" sheet="1" objects="1" scenarios="1"/>
  <phoneticPr fontId="7" type="noConversion"/>
  <conditionalFormatting sqref="D40:AG40">
    <cfRule type="cellIs" dxfId="7" priority="4" stopIfTrue="1" operator="lessThan">
      <formula>0</formula>
    </cfRule>
  </conditionalFormatting>
  <conditionalFormatting sqref="D42:AG42">
    <cfRule type="cellIs" dxfId="6" priority="3" stopIfTrue="1" operator="lessThan">
      <formula>0</formula>
    </cfRule>
  </conditionalFormatting>
  <conditionalFormatting sqref="D56:AG56">
    <cfRule type="cellIs" dxfId="5" priority="2" stopIfTrue="1" operator="lessThan">
      <formula>0</formula>
    </cfRule>
  </conditionalFormatting>
  <conditionalFormatting sqref="D58:AG58">
    <cfRule type="cellIs" dxfId="4" priority="1" stopIfTrue="1" operator="lessThan">
      <formula>0</formula>
    </cfRule>
  </conditionalFormatting>
  <pageMargins left="0.24791666666666667" right="0.1953125" top="1" bottom="1" header="0.5" footer="0.5"/>
  <pageSetup scale="70" orientation="landscape" r:id="rId1"/>
  <headerFooter alignWithMargins="0">
    <oddHeader>&amp;LPríloha 7: Štandardné tabuľky - Cesty
&amp;"Arial,Tučné"&amp;12 06 Finančná analýza</oddHeader>
    <oddFooter>Strana &amp;P z &amp;N</oddFooter>
  </headerFooter>
  <ignoredErrors>
    <ignoredError sqref="C26 C52:C57" evalError="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D550-BAC4-BB48-8124-E264BDDF6741}">
  <dimension ref="B1:AJ62"/>
  <sheetViews>
    <sheetView zoomScale="80" zoomScaleNormal="80" workbookViewId="0">
      <pane ySplit="6" topLeftCell="A7" activePane="bottomLeft" state="frozen"/>
      <selection pane="bottomLeft"/>
    </sheetView>
  </sheetViews>
  <sheetFormatPr defaultColWidth="10.85546875" defaultRowHeight="15.75" outlineLevelRow="1"/>
  <cols>
    <col min="1" max="1" width="3.140625" style="333" customWidth="1"/>
    <col min="2" max="2" width="47" style="333" customWidth="1"/>
    <col min="3" max="3" width="35" style="333" customWidth="1"/>
    <col min="4" max="4" width="46.85546875" style="333" customWidth="1"/>
    <col min="5" max="11" width="10.85546875" style="333"/>
    <col min="12" max="12" width="12.28515625" style="333" bestFit="1" customWidth="1"/>
    <col min="13" max="16384" width="10.85546875" style="333"/>
  </cols>
  <sheetData>
    <row r="1" spans="2:36">
      <c r="B1" s="926" t="s">
        <v>454</v>
      </c>
      <c r="C1" s="926"/>
      <c r="D1" s="926"/>
      <c r="E1" s="926"/>
      <c r="F1" s="926"/>
      <c r="G1" s="844">
        <v>1</v>
      </c>
      <c r="H1" s="844">
        <v>2</v>
      </c>
      <c r="I1" s="844">
        <v>3</v>
      </c>
      <c r="J1" s="844">
        <v>4</v>
      </c>
      <c r="K1" s="844">
        <v>5</v>
      </c>
      <c r="L1" s="844">
        <v>6</v>
      </c>
      <c r="M1" s="844">
        <v>7</v>
      </c>
      <c r="N1" s="844">
        <v>8</v>
      </c>
      <c r="O1" s="844">
        <v>9</v>
      </c>
      <c r="P1" s="844">
        <v>10</v>
      </c>
      <c r="Q1" s="844">
        <v>11</v>
      </c>
      <c r="R1" s="844">
        <v>12</v>
      </c>
      <c r="S1" s="844">
        <v>13</v>
      </c>
      <c r="T1" s="844">
        <v>14</v>
      </c>
      <c r="U1" s="844">
        <v>15</v>
      </c>
      <c r="V1" s="844">
        <v>16</v>
      </c>
      <c r="W1" s="844">
        <v>17</v>
      </c>
      <c r="X1" s="844">
        <v>18</v>
      </c>
      <c r="Y1" s="844">
        <v>19</v>
      </c>
      <c r="Z1" s="844">
        <v>20</v>
      </c>
      <c r="AA1" s="844">
        <v>21</v>
      </c>
      <c r="AB1" s="844">
        <v>22</v>
      </c>
      <c r="AC1" s="844">
        <v>23</v>
      </c>
      <c r="AD1" s="844">
        <v>24</v>
      </c>
      <c r="AE1" s="844">
        <v>25</v>
      </c>
      <c r="AF1" s="844">
        <v>26</v>
      </c>
      <c r="AG1" s="844">
        <v>27</v>
      </c>
      <c r="AH1" s="844">
        <v>28</v>
      </c>
      <c r="AI1" s="844">
        <v>29</v>
      </c>
      <c r="AJ1" s="844">
        <v>30</v>
      </c>
    </row>
    <row r="2" spans="2:36" ht="16.5" thickBot="1">
      <c r="B2" s="334"/>
      <c r="C2" s="334"/>
      <c r="D2" s="334"/>
      <c r="E2" s="334"/>
      <c r="F2" s="334"/>
      <c r="G2" s="843">
        <v>2023</v>
      </c>
      <c r="H2" s="843">
        <f>G2+$G$1</f>
        <v>2024</v>
      </c>
      <c r="I2" s="843">
        <f t="shared" ref="I2:AJ2" si="0">H2+$G$1</f>
        <v>2025</v>
      </c>
      <c r="J2" s="843">
        <f t="shared" si="0"/>
        <v>2026</v>
      </c>
      <c r="K2" s="843">
        <f t="shared" si="0"/>
        <v>2027</v>
      </c>
      <c r="L2" s="843">
        <f t="shared" si="0"/>
        <v>2028</v>
      </c>
      <c r="M2" s="843">
        <f t="shared" si="0"/>
        <v>2029</v>
      </c>
      <c r="N2" s="843">
        <f t="shared" si="0"/>
        <v>2030</v>
      </c>
      <c r="O2" s="843">
        <f t="shared" si="0"/>
        <v>2031</v>
      </c>
      <c r="P2" s="843">
        <f t="shared" si="0"/>
        <v>2032</v>
      </c>
      <c r="Q2" s="843">
        <f t="shared" si="0"/>
        <v>2033</v>
      </c>
      <c r="R2" s="843">
        <f t="shared" si="0"/>
        <v>2034</v>
      </c>
      <c r="S2" s="843">
        <f t="shared" si="0"/>
        <v>2035</v>
      </c>
      <c r="T2" s="843">
        <f t="shared" si="0"/>
        <v>2036</v>
      </c>
      <c r="U2" s="843">
        <f t="shared" si="0"/>
        <v>2037</v>
      </c>
      <c r="V2" s="843">
        <f t="shared" si="0"/>
        <v>2038</v>
      </c>
      <c r="W2" s="843">
        <f t="shared" si="0"/>
        <v>2039</v>
      </c>
      <c r="X2" s="843">
        <f t="shared" si="0"/>
        <v>2040</v>
      </c>
      <c r="Y2" s="843">
        <f t="shared" si="0"/>
        <v>2041</v>
      </c>
      <c r="Z2" s="843">
        <f t="shared" si="0"/>
        <v>2042</v>
      </c>
      <c r="AA2" s="843">
        <f t="shared" si="0"/>
        <v>2043</v>
      </c>
      <c r="AB2" s="843">
        <f t="shared" si="0"/>
        <v>2044</v>
      </c>
      <c r="AC2" s="843">
        <f t="shared" si="0"/>
        <v>2045</v>
      </c>
      <c r="AD2" s="843">
        <f t="shared" si="0"/>
        <v>2046</v>
      </c>
      <c r="AE2" s="843">
        <f t="shared" si="0"/>
        <v>2047</v>
      </c>
      <c r="AF2" s="843">
        <f t="shared" si="0"/>
        <v>2048</v>
      </c>
      <c r="AG2" s="843">
        <f t="shared" si="0"/>
        <v>2049</v>
      </c>
      <c r="AH2" s="843">
        <f t="shared" si="0"/>
        <v>2050</v>
      </c>
      <c r="AI2" s="843">
        <f t="shared" si="0"/>
        <v>2051</v>
      </c>
      <c r="AJ2" s="843">
        <f t="shared" si="0"/>
        <v>2052</v>
      </c>
    </row>
    <row r="3" spans="2:36" ht="28.5">
      <c r="B3" s="335" t="s">
        <v>455</v>
      </c>
      <c r="C3" s="336"/>
      <c r="D3" s="336"/>
      <c r="E3" s="336"/>
      <c r="F3" s="336"/>
      <c r="G3" s="336"/>
      <c r="H3" s="336"/>
      <c r="I3" s="336"/>
      <c r="J3" s="336"/>
      <c r="K3" s="336"/>
      <c r="L3" s="336"/>
      <c r="M3" s="336"/>
      <c r="N3" s="336"/>
      <c r="O3" s="336"/>
      <c r="P3" s="336"/>
      <c r="Q3" s="336"/>
      <c r="R3" s="336"/>
      <c r="S3" s="336"/>
      <c r="T3" s="336"/>
      <c r="U3" s="336"/>
      <c r="V3" s="336"/>
      <c r="W3" s="336"/>
      <c r="X3" s="336"/>
      <c r="Y3" s="336"/>
      <c r="Z3" s="336"/>
      <c r="AA3" s="336"/>
      <c r="AB3" s="336"/>
      <c r="AC3" s="336"/>
      <c r="AD3" s="336"/>
      <c r="AE3" s="336"/>
      <c r="AF3" s="336"/>
      <c r="AG3" s="336"/>
      <c r="AH3" s="337"/>
      <c r="AI3" s="337"/>
      <c r="AJ3" s="337"/>
    </row>
    <row r="4" spans="2:36">
      <c r="B4" s="338" t="s">
        <v>456</v>
      </c>
      <c r="C4" s="927" t="s">
        <v>457</v>
      </c>
      <c r="D4" s="928"/>
      <c r="E4" s="928"/>
      <c r="F4" s="929"/>
      <c r="G4" s="339">
        <f t="shared" ref="G4:AJ4" si="1">G15</f>
        <v>0</v>
      </c>
      <c r="H4" s="339">
        <f t="shared" si="1"/>
        <v>0</v>
      </c>
      <c r="I4" s="339">
        <f t="shared" si="1"/>
        <v>0</v>
      </c>
      <c r="J4" s="339">
        <f t="shared" si="1"/>
        <v>0</v>
      </c>
      <c r="K4" s="339">
        <f t="shared" si="1"/>
        <v>139858.13537293157</v>
      </c>
      <c r="L4" s="339">
        <f t="shared" si="1"/>
        <v>279774.65452557994</v>
      </c>
      <c r="M4" s="339">
        <f t="shared" si="1"/>
        <v>279775.72772142763</v>
      </c>
      <c r="N4" s="339">
        <f t="shared" si="1"/>
        <v>279717.31414791627</v>
      </c>
      <c r="O4" s="339">
        <f t="shared" si="1"/>
        <v>279690.94917547965</v>
      </c>
      <c r="P4" s="339">
        <f t="shared" si="1"/>
        <v>279600.6343628543</v>
      </c>
      <c r="Q4" s="339">
        <f t="shared" si="1"/>
        <v>279471.79871046392</v>
      </c>
      <c r="R4" s="339">
        <f t="shared" si="1"/>
        <v>279311.24156871275</v>
      </c>
      <c r="S4" s="339">
        <f t="shared" si="1"/>
        <v>279121.0436693189</v>
      </c>
      <c r="T4" s="339">
        <f t="shared" si="1"/>
        <v>278746.51882183226</v>
      </c>
      <c r="U4" s="339">
        <f t="shared" si="1"/>
        <v>278188.28746864235</v>
      </c>
      <c r="V4" s="339">
        <f t="shared" si="1"/>
        <v>277447.33383588871</v>
      </c>
      <c r="W4" s="339">
        <f t="shared" si="1"/>
        <v>276525.00308437692</v>
      </c>
      <c r="X4" s="339">
        <f t="shared" si="1"/>
        <v>275422.99726981937</v>
      </c>
      <c r="Y4" s="339">
        <f t="shared" si="1"/>
        <v>274073.0633599399</v>
      </c>
      <c r="Z4" s="339">
        <f t="shared" si="1"/>
        <v>272478.66263460525</v>
      </c>
      <c r="AA4" s="339">
        <f t="shared" si="1"/>
        <v>270643.91446314409</v>
      </c>
      <c r="AB4" s="339">
        <f t="shared" si="1"/>
        <v>268573.57858726644</v>
      </c>
      <c r="AC4" s="339">
        <f t="shared" si="1"/>
        <v>266273.03454128461</v>
      </c>
      <c r="AD4" s="339">
        <f t="shared" si="1"/>
        <v>263641.73264090659</v>
      </c>
      <c r="AE4" s="339">
        <f t="shared" si="1"/>
        <v>260689.43236688874</v>
      </c>
      <c r="AF4" s="339">
        <f t="shared" si="1"/>
        <v>257427.07708786509</v>
      </c>
      <c r="AG4" s="339">
        <f t="shared" si="1"/>
        <v>253866.7263074475</v>
      </c>
      <c r="AH4" s="340">
        <f t="shared" si="1"/>
        <v>250021.48114638095</v>
      </c>
      <c r="AI4" s="340">
        <f t="shared" si="1"/>
        <v>245764.62238258315</v>
      </c>
      <c r="AJ4" s="340">
        <f t="shared" si="1"/>
        <v>241118.38373290753</v>
      </c>
    </row>
    <row r="5" spans="2:36" ht="6.95" customHeight="1">
      <c r="B5" s="341"/>
      <c r="C5" s="342"/>
      <c r="D5" s="343"/>
      <c r="E5" s="342"/>
      <c r="F5" s="344"/>
      <c r="G5" s="342"/>
      <c r="H5" s="342"/>
      <c r="I5" s="342"/>
      <c r="J5" s="342"/>
      <c r="K5" s="342"/>
      <c r="L5" s="342"/>
      <c r="M5" s="342"/>
      <c r="N5" s="342"/>
      <c r="O5" s="342"/>
      <c r="P5" s="342"/>
      <c r="Q5" s="342"/>
      <c r="R5" s="342"/>
      <c r="S5" s="342"/>
      <c r="T5" s="342"/>
      <c r="U5" s="342"/>
      <c r="V5" s="342"/>
      <c r="W5" s="342"/>
      <c r="X5" s="342"/>
      <c r="Y5" s="342"/>
      <c r="Z5" s="342"/>
      <c r="AA5" s="342"/>
      <c r="AB5" s="342"/>
      <c r="AC5" s="342"/>
      <c r="AD5" s="342"/>
      <c r="AE5" s="342"/>
      <c r="AF5" s="342"/>
      <c r="AG5" s="342"/>
      <c r="AH5" s="345"/>
      <c r="AI5" s="345"/>
      <c r="AJ5" s="346"/>
    </row>
    <row r="6" spans="2:36" ht="16.5" thickBot="1">
      <c r="B6" s="347" t="s">
        <v>458</v>
      </c>
      <c r="C6" s="930" t="s">
        <v>457</v>
      </c>
      <c r="D6" s="931"/>
      <c r="E6" s="931"/>
      <c r="F6" s="932"/>
      <c r="G6" s="348">
        <f t="shared" ref="G6:AJ6" si="2">G36</f>
        <v>3473838.8785778577</v>
      </c>
      <c r="H6" s="348">
        <f t="shared" si="2"/>
        <v>3476524.3613250717</v>
      </c>
      <c r="I6" s="348">
        <f t="shared" si="2"/>
        <v>3478290.0259937411</v>
      </c>
      <c r="J6" s="348">
        <f t="shared" si="2"/>
        <v>3480838.4647763544</v>
      </c>
      <c r="K6" s="348">
        <f t="shared" si="2"/>
        <v>3482480.1244620215</v>
      </c>
      <c r="L6" s="348">
        <f t="shared" si="2"/>
        <v>3483141.20503766</v>
      </c>
      <c r="M6" s="348">
        <f t="shared" si="2"/>
        <v>3483045.4622152164</v>
      </c>
      <c r="N6" s="348">
        <f t="shared" si="2"/>
        <v>3482196.1700717467</v>
      </c>
      <c r="O6" s="348">
        <f t="shared" si="2"/>
        <v>3481710.3903786158</v>
      </c>
      <c r="P6" s="348">
        <f t="shared" si="2"/>
        <v>3480414.7688144115</v>
      </c>
      <c r="Q6" s="348">
        <f t="shared" si="2"/>
        <v>3478620.9958191989</v>
      </c>
      <c r="R6" s="348">
        <f t="shared" si="2"/>
        <v>3476440.3834457314</v>
      </c>
      <c r="S6" s="348">
        <f t="shared" si="2"/>
        <v>3473910.5902583082</v>
      </c>
      <c r="T6" s="348">
        <f t="shared" si="2"/>
        <v>3469086.7557884613</v>
      </c>
      <c r="U6" s="348">
        <f t="shared" si="2"/>
        <v>3461976.9248204348</v>
      </c>
      <c r="V6" s="348">
        <f t="shared" si="2"/>
        <v>3452593.6686810465</v>
      </c>
      <c r="W6" s="348">
        <f t="shared" si="2"/>
        <v>3440954.0487151439</v>
      </c>
      <c r="X6" s="348">
        <f t="shared" si="2"/>
        <v>3427079.5649505346</v>
      </c>
      <c r="Y6" s="348">
        <f t="shared" si="2"/>
        <v>3410121.3065998429</v>
      </c>
      <c r="Z6" s="348">
        <f t="shared" si="2"/>
        <v>3390122.7791052153</v>
      </c>
      <c r="AA6" s="348">
        <f t="shared" si="2"/>
        <v>3367135.6685369224</v>
      </c>
      <c r="AB6" s="348">
        <f t="shared" si="2"/>
        <v>3341219.6192067098</v>
      </c>
      <c r="AC6" s="348">
        <f t="shared" si="2"/>
        <v>3312441.9757229034</v>
      </c>
      <c r="AD6" s="348">
        <f t="shared" si="2"/>
        <v>3279552.3723485456</v>
      </c>
      <c r="AE6" s="348">
        <f t="shared" si="2"/>
        <v>3242672.8006911264</v>
      </c>
      <c r="AF6" s="348">
        <f t="shared" si="2"/>
        <v>3201939.9564658026</v>
      </c>
      <c r="AG6" s="348">
        <f t="shared" si="2"/>
        <v>3157504.3931960184</v>
      </c>
      <c r="AH6" s="348">
        <f t="shared" si="2"/>
        <v>3109529.5920042042</v>
      </c>
      <c r="AI6" s="348">
        <f t="shared" si="2"/>
        <v>3056440.1352701327</v>
      </c>
      <c r="AJ6" s="349">
        <f t="shared" si="2"/>
        <v>2998513.267103144</v>
      </c>
    </row>
    <row r="7" spans="2:36" s="334" customFormat="1" ht="15" customHeight="1" outlineLevel="1">
      <c r="B7" s="1187" t="s">
        <v>459</v>
      </c>
      <c r="C7" s="1187"/>
      <c r="D7" s="852" t="str">
        <f>B39</f>
        <v>Košice &lt;=&gt; Poprad</v>
      </c>
      <c r="E7" s="1188" t="s">
        <v>460</v>
      </c>
      <c r="F7" s="1188"/>
      <c r="G7" s="351"/>
      <c r="H7" s="846">
        <v>1.0010073346256303</v>
      </c>
      <c r="I7" s="846">
        <v>1.0008141479396411</v>
      </c>
      <c r="J7" s="846">
        <v>1.0014204438952681</v>
      </c>
      <c r="K7" s="846">
        <v>1.001223847372718</v>
      </c>
      <c r="L7" s="846">
        <v>1.0010235384391706</v>
      </c>
      <c r="M7" s="846">
        <v>1.0008749715679215</v>
      </c>
      <c r="N7" s="846">
        <v>1.0006782381109385</v>
      </c>
      <c r="O7" s="846">
        <v>1.0010574962672913</v>
      </c>
      <c r="P7" s="846">
        <v>1.0009359147485957</v>
      </c>
      <c r="Q7" s="846">
        <v>1.0008332169791287</v>
      </c>
      <c r="R7" s="846">
        <v>1.0007245585142708</v>
      </c>
      <c r="S7" s="846">
        <v>1.0006422973256781</v>
      </c>
      <c r="T7" s="846">
        <v>0.99998004498796056</v>
      </c>
      <c r="U7" s="846">
        <v>0.99931779265024301</v>
      </c>
      <c r="V7" s="846">
        <v>0.99865554031252568</v>
      </c>
      <c r="W7" s="846">
        <v>0.99799328797480813</v>
      </c>
      <c r="X7" s="846">
        <v>0.99733103563709058</v>
      </c>
      <c r="Y7" s="846">
        <v>0.99641317776651106</v>
      </c>
      <c r="Z7" s="846">
        <v>0.99549531989593132</v>
      </c>
      <c r="AA7" s="846">
        <v>0.9945774620253518</v>
      </c>
      <c r="AB7" s="846">
        <v>0.99365960415477206</v>
      </c>
      <c r="AC7" s="846">
        <v>0.99274174628419232</v>
      </c>
      <c r="AD7" s="846">
        <v>0.99142329912455929</v>
      </c>
      <c r="AE7" s="846">
        <v>0.99010485196492637</v>
      </c>
      <c r="AF7" s="846">
        <v>0.98878640480529345</v>
      </c>
      <c r="AG7" s="846">
        <v>0.98746795764566042</v>
      </c>
      <c r="AH7" s="846">
        <v>0.98614951048602761</v>
      </c>
      <c r="AI7" s="846">
        <v>0.98426724562046086</v>
      </c>
      <c r="AJ7" s="846">
        <v>0.98238498075489389</v>
      </c>
    </row>
    <row r="8" spans="2:36" s="334" customFormat="1" ht="15" customHeight="1" outlineLevel="1">
      <c r="B8" s="1187"/>
      <c r="C8" s="1187"/>
      <c r="D8" s="852" t="str">
        <f t="shared" ref="D8:D9" si="3">B40</f>
        <v>Poprad &lt;=&gt; Liptovský Mikuláš</v>
      </c>
      <c r="E8" s="1188"/>
      <c r="F8" s="1188"/>
      <c r="G8" s="351"/>
      <c r="H8" s="846">
        <v>1.0004785946502701</v>
      </c>
      <c r="I8" s="846">
        <v>1.0002681231182611</v>
      </c>
      <c r="J8" s="846">
        <v>1.0006963689823514</v>
      </c>
      <c r="K8" s="846">
        <v>1.0005147146854532</v>
      </c>
      <c r="L8" s="846">
        <v>1.0002376320447088</v>
      </c>
      <c r="M8" s="846">
        <v>1.0000454450426999</v>
      </c>
      <c r="N8" s="846">
        <v>0.99982705600933963</v>
      </c>
      <c r="O8" s="846">
        <v>0.99982966119027161</v>
      </c>
      <c r="P8" s="846">
        <v>0.99959575156723712</v>
      </c>
      <c r="Q8" s="846">
        <v>0.99945751173118635</v>
      </c>
      <c r="R8" s="846">
        <v>0.99933605456747632</v>
      </c>
      <c r="S8" s="846">
        <v>0.99920014034298554</v>
      </c>
      <c r="T8" s="846">
        <v>0.99853884246405489</v>
      </c>
      <c r="U8" s="846">
        <v>0.99787754458512423</v>
      </c>
      <c r="V8" s="846">
        <v>0.99721624670619358</v>
      </c>
      <c r="W8" s="846">
        <v>0.99655494882726292</v>
      </c>
      <c r="X8" s="846">
        <v>0.99589365094833227</v>
      </c>
      <c r="Y8" s="846">
        <v>0.99497711592322968</v>
      </c>
      <c r="Z8" s="846">
        <v>0.9940605808981271</v>
      </c>
      <c r="AA8" s="846">
        <v>0.99314404587302452</v>
      </c>
      <c r="AB8" s="846">
        <v>0.99222751084792193</v>
      </c>
      <c r="AC8" s="846">
        <v>0.99131097582281935</v>
      </c>
      <c r="AD8" s="846">
        <v>0.98999442885047872</v>
      </c>
      <c r="AE8" s="846">
        <v>0.9886778818781381</v>
      </c>
      <c r="AF8" s="846">
        <v>0.98736133490579758</v>
      </c>
      <c r="AG8" s="846">
        <v>0.98604478793345707</v>
      </c>
      <c r="AH8" s="846">
        <v>0.98472824096111644</v>
      </c>
      <c r="AI8" s="846">
        <v>0.98284868887455801</v>
      </c>
      <c r="AJ8" s="846">
        <v>0.98096913678799957</v>
      </c>
    </row>
    <row r="9" spans="2:36" s="334" customFormat="1" ht="15" customHeight="1" outlineLevel="1">
      <c r="B9" s="1187"/>
      <c r="C9" s="1187"/>
      <c r="D9" s="852" t="str">
        <f t="shared" si="3"/>
        <v>Liptovský Mikuláš &lt;=&gt;  Žilina</v>
      </c>
      <c r="E9" s="1188"/>
      <c r="F9" s="1188"/>
      <c r="G9" s="351"/>
      <c r="H9" s="846">
        <v>0.99984735735695096</v>
      </c>
      <c r="I9" s="846">
        <v>0.99961215898490563</v>
      </c>
      <c r="J9" s="846">
        <v>1.0000455982190528</v>
      </c>
      <c r="K9" s="846">
        <v>0.99985585715489889</v>
      </c>
      <c r="L9" s="846">
        <v>0.99957016019004596</v>
      </c>
      <c r="M9" s="846">
        <v>0.99935737561872007</v>
      </c>
      <c r="N9" s="846">
        <v>0.99915575685866453</v>
      </c>
      <c r="O9" s="846">
        <v>0.99924875968379001</v>
      </c>
      <c r="P9" s="846">
        <v>0.99895364275705378</v>
      </c>
      <c r="Q9" s="846">
        <v>0.99880983872555529</v>
      </c>
      <c r="R9" s="846">
        <v>0.99869005557159363</v>
      </c>
      <c r="S9" s="846">
        <v>0.99857564010263244</v>
      </c>
      <c r="T9" s="846">
        <v>0.9979147555349771</v>
      </c>
      <c r="U9" s="846">
        <v>0.99725387096732176</v>
      </c>
      <c r="V9" s="846">
        <v>0.99659298639966643</v>
      </c>
      <c r="W9" s="846">
        <v>0.99593210183201109</v>
      </c>
      <c r="X9" s="846">
        <v>0.99527121726435586</v>
      </c>
      <c r="Y9" s="846">
        <v>0.99435525507378397</v>
      </c>
      <c r="Z9" s="846">
        <v>0.99343929288321209</v>
      </c>
      <c r="AA9" s="846">
        <v>0.9925233306926402</v>
      </c>
      <c r="AB9" s="846">
        <v>0.99160736850206832</v>
      </c>
      <c r="AC9" s="846">
        <v>0.99069140631149644</v>
      </c>
      <c r="AD9" s="846">
        <v>0.98937568218121474</v>
      </c>
      <c r="AE9" s="846">
        <v>0.98805995805093305</v>
      </c>
      <c r="AF9" s="846">
        <v>0.98674423392065136</v>
      </c>
      <c r="AG9" s="846">
        <v>0.98542850979036967</v>
      </c>
      <c r="AH9" s="846">
        <v>0.98411278566008775</v>
      </c>
      <c r="AI9" s="846">
        <v>0.98223440829387054</v>
      </c>
      <c r="AJ9" s="846">
        <v>0.98035603092765333</v>
      </c>
    </row>
    <row r="10" spans="2:36" s="334" customFormat="1" ht="15" customHeight="1" outlineLevel="1">
      <c r="B10" s="1187"/>
      <c r="C10" s="1187"/>
      <c r="D10" s="852" t="str">
        <f>B42</f>
        <v>Žilina &lt;=&gt;  Bratislava hl. st.</v>
      </c>
      <c r="E10" s="1188"/>
      <c r="F10" s="1188"/>
      <c r="G10" s="351"/>
      <c r="H10" s="846">
        <v>1.0010219527275308</v>
      </c>
      <c r="I10" s="846">
        <v>1.0007117115134112</v>
      </c>
      <c r="J10" s="846">
        <v>1.0007045319505947</v>
      </c>
      <c r="K10" s="846">
        <v>1.0003838539847747</v>
      </c>
      <c r="L10" s="846">
        <v>1.0000745320809212</v>
      </c>
      <c r="M10" s="846">
        <v>0.99982694600983013</v>
      </c>
      <c r="N10" s="846">
        <v>0.99959993600350372</v>
      </c>
      <c r="O10" s="846">
        <v>0.99963750595611445</v>
      </c>
      <c r="P10" s="846">
        <v>0.99938477187749708</v>
      </c>
      <c r="Q10" s="846">
        <v>0.99922611032227215</v>
      </c>
      <c r="R10" s="846">
        <v>0.99911744973625205</v>
      </c>
      <c r="S10" s="846">
        <v>0.9990211845364676</v>
      </c>
      <c r="T10" s="846">
        <v>0.99836000509536582</v>
      </c>
      <c r="U10" s="846">
        <v>0.99769882565426404</v>
      </c>
      <c r="V10" s="846">
        <v>0.99703764621316238</v>
      </c>
      <c r="W10" s="846">
        <v>0.99637646677206049</v>
      </c>
      <c r="X10" s="846">
        <v>0.99571528733095871</v>
      </c>
      <c r="Y10" s="846">
        <v>0.99479891645641827</v>
      </c>
      <c r="Z10" s="846">
        <v>0.99388254558187783</v>
      </c>
      <c r="AA10" s="846">
        <v>0.99296617470733717</v>
      </c>
      <c r="AB10" s="846">
        <v>0.99204980383279651</v>
      </c>
      <c r="AC10" s="846">
        <v>0.99113343295825596</v>
      </c>
      <c r="AD10" s="846">
        <v>0.98981712177824144</v>
      </c>
      <c r="AE10" s="846">
        <v>0.98850081059822703</v>
      </c>
      <c r="AF10" s="846">
        <v>0.9871844994182124</v>
      </c>
      <c r="AG10" s="846">
        <v>0.98586818823819788</v>
      </c>
      <c r="AH10" s="846">
        <v>0.98455187705818337</v>
      </c>
      <c r="AI10" s="846">
        <v>0.982672661597638</v>
      </c>
      <c r="AJ10" s="846">
        <v>0.98079344613709274</v>
      </c>
    </row>
    <row r="12" spans="2:36" s="334" customFormat="1" ht="40.5" customHeight="1">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352"/>
      <c r="AE12" s="352"/>
      <c r="AF12" s="352"/>
      <c r="AG12" s="352"/>
      <c r="AH12" s="352"/>
    </row>
    <row r="13" spans="2:36" s="334" customFormat="1" ht="18.75" customHeight="1">
      <c r="B13" s="353"/>
      <c r="C13" s="354"/>
      <c r="D13" s="355"/>
      <c r="E13" s="355"/>
      <c r="G13" s="352"/>
      <c r="H13" s="352"/>
      <c r="I13" s="352"/>
      <c r="J13" s="352"/>
      <c r="K13" s="352"/>
      <c r="L13" s="352"/>
      <c r="M13" s="352"/>
      <c r="N13" s="352"/>
      <c r="O13" s="352"/>
      <c r="P13" s="352"/>
      <c r="Q13" s="352"/>
      <c r="R13" s="352"/>
      <c r="S13" s="352"/>
      <c r="T13" s="352"/>
      <c r="U13" s="352"/>
      <c r="V13" s="352"/>
      <c r="W13" s="352"/>
      <c r="X13" s="352"/>
      <c r="Y13" s="352"/>
      <c r="Z13" s="352"/>
      <c r="AA13" s="352"/>
      <c r="AB13" s="352"/>
      <c r="AC13" s="352"/>
      <c r="AD13" s="352"/>
      <c r="AE13" s="352"/>
      <c r="AF13" s="352"/>
      <c r="AG13" s="352"/>
      <c r="AH13" s="352"/>
    </row>
    <row r="14" spans="2:36" s="334" customFormat="1" ht="15">
      <c r="C14" s="356" t="str">
        <f>C35</f>
        <v>dĺžka cesty - železničná doprava  [km]</v>
      </c>
      <c r="D14" s="357" t="str">
        <f>D35</f>
        <v>vnímaná úspora času železničná doprava [hod.]</v>
      </c>
      <c r="E14" s="358"/>
      <c r="F14" s="359"/>
      <c r="G14" s="352"/>
      <c r="H14" s="352"/>
      <c r="I14" s="352"/>
      <c r="J14" s="352"/>
      <c r="K14" s="352"/>
      <c r="L14" s="352"/>
      <c r="M14" s="352"/>
      <c r="N14" s="352"/>
      <c r="O14" s="352"/>
      <c r="P14" s="352"/>
      <c r="Q14" s="352"/>
      <c r="R14" s="352"/>
      <c r="S14" s="352"/>
      <c r="T14" s="352"/>
      <c r="U14" s="352"/>
      <c r="V14" s="352"/>
      <c r="W14" s="352"/>
      <c r="X14" s="352"/>
      <c r="Y14" s="352"/>
      <c r="Z14" s="352"/>
      <c r="AA14" s="352"/>
      <c r="AB14" s="352"/>
      <c r="AC14" s="352"/>
      <c r="AD14" s="352"/>
      <c r="AE14" s="352"/>
      <c r="AF14" s="352"/>
      <c r="AG14" s="352"/>
      <c r="AH14" s="352"/>
    </row>
    <row r="15" spans="2:36" s="334" customFormat="1">
      <c r="B15" s="360" t="s">
        <v>461</v>
      </c>
      <c r="C15" s="361">
        <f>SUM(C18:C21)</f>
        <v>442.98199999999997</v>
      </c>
      <c r="D15" s="361">
        <f>AVERAGE(D18:D21)</f>
        <v>2.1500000000000002E-2</v>
      </c>
      <c r="E15" s="362"/>
      <c r="G15" s="363">
        <f t="shared" ref="G15:AJ15" si="4">SUM(G18:G21)</f>
        <v>0</v>
      </c>
      <c r="H15" s="363">
        <f t="shared" si="4"/>
        <v>0</v>
      </c>
      <c r="I15" s="363">
        <f t="shared" si="4"/>
        <v>0</v>
      </c>
      <c r="J15" s="363">
        <f t="shared" si="4"/>
        <v>0</v>
      </c>
      <c r="K15" s="363">
        <f t="shared" si="4"/>
        <v>139858.13537293157</v>
      </c>
      <c r="L15" s="363">
        <f t="shared" si="4"/>
        <v>279774.65452557994</v>
      </c>
      <c r="M15" s="363">
        <f t="shared" si="4"/>
        <v>279775.72772142763</v>
      </c>
      <c r="N15" s="363">
        <f t="shared" si="4"/>
        <v>279717.31414791627</v>
      </c>
      <c r="O15" s="363">
        <f t="shared" si="4"/>
        <v>279690.94917547965</v>
      </c>
      <c r="P15" s="363">
        <f t="shared" si="4"/>
        <v>279600.6343628543</v>
      </c>
      <c r="Q15" s="363">
        <f>SUM(Q18:Q21)</f>
        <v>279471.79871046392</v>
      </c>
      <c r="R15" s="363">
        <f t="shared" si="4"/>
        <v>279311.24156871275</v>
      </c>
      <c r="S15" s="363">
        <f t="shared" si="4"/>
        <v>279121.0436693189</v>
      </c>
      <c r="T15" s="363">
        <f t="shared" si="4"/>
        <v>278746.51882183226</v>
      </c>
      <c r="U15" s="363">
        <f t="shared" si="4"/>
        <v>278188.28746864235</v>
      </c>
      <c r="V15" s="363">
        <f t="shared" si="4"/>
        <v>277447.33383588871</v>
      </c>
      <c r="W15" s="363">
        <f t="shared" si="4"/>
        <v>276525.00308437692</v>
      </c>
      <c r="X15" s="363">
        <f t="shared" si="4"/>
        <v>275422.99726981937</v>
      </c>
      <c r="Y15" s="363">
        <f t="shared" si="4"/>
        <v>274073.0633599399</v>
      </c>
      <c r="Z15" s="363">
        <f t="shared" si="4"/>
        <v>272478.66263460525</v>
      </c>
      <c r="AA15" s="363">
        <f t="shared" si="4"/>
        <v>270643.91446314409</v>
      </c>
      <c r="AB15" s="363">
        <f t="shared" si="4"/>
        <v>268573.57858726644</v>
      </c>
      <c r="AC15" s="363">
        <f t="shared" si="4"/>
        <v>266273.03454128461</v>
      </c>
      <c r="AD15" s="363">
        <f t="shared" si="4"/>
        <v>263641.73264090659</v>
      </c>
      <c r="AE15" s="363">
        <f t="shared" si="4"/>
        <v>260689.43236688874</v>
      </c>
      <c r="AF15" s="363">
        <f t="shared" si="4"/>
        <v>257427.07708786509</v>
      </c>
      <c r="AG15" s="363">
        <f t="shared" si="4"/>
        <v>253866.7263074475</v>
      </c>
      <c r="AH15" s="363">
        <f t="shared" si="4"/>
        <v>250021.48114638095</v>
      </c>
      <c r="AI15" s="363">
        <f t="shared" si="4"/>
        <v>245764.62238258315</v>
      </c>
      <c r="AJ15" s="363">
        <f t="shared" si="4"/>
        <v>241118.38373290753</v>
      </c>
    </row>
    <row r="16" spans="2:36" s="334" customFormat="1" ht="15">
      <c r="G16" s="352"/>
      <c r="H16" s="352"/>
      <c r="I16" s="352"/>
      <c r="J16" s="352"/>
      <c r="K16" s="352"/>
      <c r="L16" s="352"/>
      <c r="M16" s="352"/>
      <c r="N16" s="352"/>
      <c r="O16" s="352"/>
      <c r="P16" s="352"/>
      <c r="Q16" s="352"/>
      <c r="R16" s="352"/>
      <c r="S16" s="352"/>
      <c r="T16" s="352"/>
      <c r="U16" s="352"/>
      <c r="V16" s="352"/>
      <c r="W16" s="352"/>
      <c r="X16" s="352"/>
      <c r="Y16" s="352"/>
      <c r="Z16" s="352"/>
      <c r="AA16" s="352"/>
      <c r="AB16" s="352"/>
      <c r="AC16" s="352"/>
      <c r="AD16" s="352"/>
      <c r="AE16" s="352"/>
      <c r="AF16" s="352"/>
      <c r="AG16" s="352"/>
      <c r="AH16" s="352"/>
    </row>
    <row r="17" spans="2:36" s="334" customFormat="1" ht="15">
      <c r="B17" s="364" t="s">
        <v>462</v>
      </c>
      <c r="D17" s="365"/>
      <c r="G17" s="352"/>
      <c r="H17" s="352"/>
      <c r="I17" s="352"/>
      <c r="J17" s="352"/>
      <c r="K17" s="352"/>
      <c r="L17" s="352"/>
      <c r="M17" s="352"/>
      <c r="N17" s="352"/>
      <c r="O17" s="352"/>
      <c r="P17" s="352"/>
      <c r="Q17" s="352"/>
      <c r="R17" s="352"/>
      <c r="S17" s="352"/>
      <c r="T17" s="352"/>
      <c r="U17" s="352"/>
      <c r="V17" s="352"/>
      <c r="W17" s="352"/>
      <c r="X17" s="352"/>
      <c r="Y17" s="352"/>
      <c r="Z17" s="352"/>
      <c r="AA17" s="352"/>
      <c r="AB17" s="352"/>
      <c r="AC17" s="352"/>
      <c r="AD17" s="352"/>
      <c r="AE17" s="352"/>
      <c r="AF17" s="352"/>
      <c r="AG17" s="352"/>
      <c r="AH17" s="352"/>
    </row>
    <row r="18" spans="2:36" s="334" customFormat="1" ht="15">
      <c r="B18" s="366" t="str">
        <f>B39</f>
        <v>Košice &lt;=&gt; Poprad</v>
      </c>
      <c r="C18" s="367">
        <f>C39</f>
        <v>100.74299999999999</v>
      </c>
      <c r="D18" s="942">
        <f>D39</f>
        <v>2.1500000000000002E-2</v>
      </c>
      <c r="E18" s="355"/>
      <c r="G18" s="368">
        <f>$D18*G28*G39</f>
        <v>0</v>
      </c>
      <c r="H18" s="368">
        <f t="shared" ref="H18:AJ18" si="5">$D18*H28*H39</f>
        <v>0</v>
      </c>
      <c r="I18" s="368">
        <f t="shared" si="5"/>
        <v>0</v>
      </c>
      <c r="J18" s="368">
        <f t="shared" si="5"/>
        <v>0</v>
      </c>
      <c r="K18" s="368">
        <f t="shared" si="5"/>
        <v>29945.302671592446</v>
      </c>
      <c r="L18" s="368">
        <f t="shared" si="5"/>
        <v>59951.905679898839</v>
      </c>
      <c r="M18" s="368">
        <f t="shared" si="5"/>
        <v>60004.361892811467</v>
      </c>
      <c r="N18" s="368">
        <f t="shared" si="5"/>
        <v>60045.059137869714</v>
      </c>
      <c r="O18" s="368">
        <f t="shared" si="5"/>
        <v>60108.556563777296</v>
      </c>
      <c r="P18" s="368">
        <f t="shared" si="5"/>
        <v>60164.81304838213</v>
      </c>
      <c r="Q18" s="368">
        <f t="shared" si="5"/>
        <v>60214.943392160145</v>
      </c>
      <c r="R18" s="368">
        <f t="shared" si="5"/>
        <v>60258.572642081272</v>
      </c>
      <c r="S18" s="368">
        <f t="shared" si="5"/>
        <v>60297.276562138461</v>
      </c>
      <c r="T18" s="368">
        <f t="shared" si="5"/>
        <v>60296.073329258717</v>
      </c>
      <c r="U18" s="368">
        <f t="shared" si="5"/>
        <v>60254.938904872011</v>
      </c>
      <c r="V18" s="368">
        <f t="shared" si="5"/>
        <v>60173.92856854319</v>
      </c>
      <c r="W18" s="368">
        <f t="shared" si="5"/>
        <v>60053.176822481655</v>
      </c>
      <c r="X18" s="368">
        <f t="shared" si="5"/>
        <v>59892.89703366295</v>
      </c>
      <c r="Y18" s="368">
        <f t="shared" si="5"/>
        <v>59678.071858954543</v>
      </c>
      <c r="Z18" s="368">
        <f t="shared" si="5"/>
        <v>59409.24123600233</v>
      </c>
      <c r="AA18" s="368">
        <f t="shared" si="5"/>
        <v>59087.092369355072</v>
      </c>
      <c r="AB18" s="368">
        <f t="shared" si="5"/>
        <v>58712.456814389814</v>
      </c>
      <c r="AC18" s="368">
        <f t="shared" si="5"/>
        <v>58286.306906552571</v>
      </c>
      <c r="AD18" s="368">
        <f t="shared" si="5"/>
        <v>57786.402687080939</v>
      </c>
      <c r="AE18" s="368">
        <f t="shared" si="5"/>
        <v>57214.597678077902</v>
      </c>
      <c r="AF18" s="368">
        <f t="shared" si="5"/>
        <v>56573.016340487935</v>
      </c>
      <c r="AG18" s="368">
        <f t="shared" si="5"/>
        <v>55864.040903596193</v>
      </c>
      <c r="AH18" s="368">
        <f t="shared" si="5"/>
        <v>55090.296590852806</v>
      </c>
      <c r="AI18" s="368">
        <f t="shared" si="5"/>
        <v>54223.574485892954</v>
      </c>
      <c r="AJ18" s="368">
        <f t="shared" si="5"/>
        <v>53268.42517778551</v>
      </c>
    </row>
    <row r="19" spans="2:36" s="334" customFormat="1" ht="15">
      <c r="B19" s="366" t="str">
        <f>B40</f>
        <v>Poprad &lt;=&gt; Liptovský Mikuláš</v>
      </c>
      <c r="C19" s="367">
        <f t="shared" ref="C19:C20" si="6">C40</f>
        <v>58.222000000000001</v>
      </c>
      <c r="D19" s="943"/>
      <c r="E19" s="355"/>
      <c r="G19" s="368">
        <f>$D18*G29*G40</f>
        <v>0</v>
      </c>
      <c r="H19" s="368">
        <f t="shared" ref="H19:AJ19" si="7">$D18*H29*H40</f>
        <v>0</v>
      </c>
      <c r="I19" s="368">
        <f t="shared" si="7"/>
        <v>0</v>
      </c>
      <c r="J19" s="368">
        <f t="shared" si="7"/>
        <v>0</v>
      </c>
      <c r="K19" s="368">
        <f t="shared" si="7"/>
        <v>34591.434808409147</v>
      </c>
      <c r="L19" s="368">
        <f t="shared" si="7"/>
        <v>69199.309683584157</v>
      </c>
      <c r="M19" s="368">
        <f t="shared" si="7"/>
        <v>69202.454449167533</v>
      </c>
      <c r="N19" s="368">
        <f t="shared" si="7"/>
        <v>69190.4863005316</v>
      </c>
      <c r="O19" s="368">
        <f t="shared" si="7"/>
        <v>69178.700475450649</v>
      </c>
      <c r="P19" s="368">
        <f t="shared" si="7"/>
        <v>69150.735094202872</v>
      </c>
      <c r="Q19" s="368">
        <f t="shared" si="7"/>
        <v>69113.221631634427</v>
      </c>
      <c r="R19" s="368">
        <f t="shared" si="7"/>
        <v>69067.334223805112</v>
      </c>
      <c r="S19" s="368">
        <f t="shared" si="7"/>
        <v>69012.090049541948</v>
      </c>
      <c r="T19" s="368">
        <f t="shared" si="7"/>
        <v>68911.25251409474</v>
      </c>
      <c r="U19" s="368">
        <f t="shared" si="7"/>
        <v>68764.99145305033</v>
      </c>
      <c r="V19" s="368">
        <f t="shared" si="7"/>
        <v>68573.566681594326</v>
      </c>
      <c r="W19" s="368">
        <f t="shared" si="7"/>
        <v>68337.327235279139</v>
      </c>
      <c r="X19" s="368">
        <f t="shared" si="7"/>
        <v>68056.710316393044</v>
      </c>
      <c r="Y19" s="368">
        <f t="shared" si="7"/>
        <v>67714.869349827466</v>
      </c>
      <c r="Z19" s="368">
        <f t="shared" si="7"/>
        <v>67312.682361330255</v>
      </c>
      <c r="AA19" s="368">
        <f t="shared" si="7"/>
        <v>66851.189698897317</v>
      </c>
      <c r="AB19" s="368">
        <f t="shared" si="7"/>
        <v>66331.589552159116</v>
      </c>
      <c r="AC19" s="368">
        <f t="shared" si="7"/>
        <v>65755.232766829577</v>
      </c>
      <c r="AD19" s="368">
        <f t="shared" si="7"/>
        <v>65097.314106927726</v>
      </c>
      <c r="AE19" s="368">
        <f t="shared" si="7"/>
        <v>64360.274627193154</v>
      </c>
      <c r="AF19" s="368">
        <f t="shared" si="7"/>
        <v>63546.846670809166</v>
      </c>
      <c r="AG19" s="368">
        <f t="shared" si="7"/>
        <v>62660.036949357935</v>
      </c>
      <c r="AH19" s="368">
        <f t="shared" si="7"/>
        <v>61703.107963699797</v>
      </c>
      <c r="AI19" s="368">
        <f t="shared" si="7"/>
        <v>60644.818761607654</v>
      </c>
      <c r="AJ19" s="368">
        <f t="shared" si="7"/>
        <v>59490.695511238941</v>
      </c>
    </row>
    <row r="20" spans="2:36" s="334" customFormat="1" ht="15">
      <c r="B20" s="366" t="str">
        <f>B41</f>
        <v>Liptovský Mikuláš &lt;=&gt;  Žilina</v>
      </c>
      <c r="C20" s="367">
        <f t="shared" si="6"/>
        <v>83.66</v>
      </c>
      <c r="D20" s="943"/>
      <c r="E20" s="355"/>
      <c r="G20" s="368">
        <f>$D18*G30*G41</f>
        <v>0</v>
      </c>
      <c r="H20" s="368">
        <f t="shared" ref="H20:AJ20" si="8">$D18*H30*H41</f>
        <v>0</v>
      </c>
      <c r="I20" s="368">
        <f t="shared" si="8"/>
        <v>0</v>
      </c>
      <c r="J20" s="368">
        <f t="shared" si="8"/>
        <v>0</v>
      </c>
      <c r="K20" s="368">
        <f t="shared" si="8"/>
        <v>30319.23999141388</v>
      </c>
      <c r="L20" s="368">
        <f t="shared" si="8"/>
        <v>60612.415150116045</v>
      </c>
      <c r="M20" s="368">
        <f t="shared" si="8"/>
        <v>60573.464134332316</v>
      </c>
      <c r="N20" s="368">
        <f t="shared" si="8"/>
        <v>60522.325402689974</v>
      </c>
      <c r="O20" s="368">
        <f t="shared" si="8"/>
        <v>60476.858591816694</v>
      </c>
      <c r="P20" s="368">
        <f t="shared" si="8"/>
        <v>60413.578192798515</v>
      </c>
      <c r="Q20" s="368">
        <f t="shared" si="8"/>
        <v>60341.676291582808</v>
      </c>
      <c r="R20" s="368">
        <f t="shared" si="8"/>
        <v>60262.632048923944</v>
      </c>
      <c r="S20" s="368">
        <f t="shared" si="8"/>
        <v>60176.796372523648</v>
      </c>
      <c r="T20" s="368">
        <f t="shared" si="8"/>
        <v>60051.313040965033</v>
      </c>
      <c r="U20" s="368">
        <f t="shared" si="8"/>
        <v>59886.404386772789</v>
      </c>
      <c r="V20" s="368">
        <f t="shared" si="8"/>
        <v>59682.370592551983</v>
      </c>
      <c r="W20" s="368">
        <f t="shared" si="8"/>
        <v>59439.588786557295</v>
      </c>
      <c r="X20" s="368">
        <f t="shared" si="8"/>
        <v>59158.511885289641</v>
      </c>
      <c r="Y20" s="368">
        <f t="shared" si="8"/>
        <v>58824.577175482664</v>
      </c>
      <c r="Z20" s="368">
        <f t="shared" si="8"/>
        <v>58438.646353365439</v>
      </c>
      <c r="AA20" s="368">
        <f t="shared" si="8"/>
        <v>58001.719919811578</v>
      </c>
      <c r="AB20" s="368">
        <f t="shared" si="8"/>
        <v>57514.932858278364</v>
      </c>
      <c r="AC20" s="368">
        <f t="shared" si="8"/>
        <v>56979.549717279086</v>
      </c>
      <c r="AD20" s="368">
        <f t="shared" si="8"/>
        <v>56374.180871911434</v>
      </c>
      <c r="AE20" s="368">
        <f t="shared" si="8"/>
        <v>55701.070787456527</v>
      </c>
      <c r="AF20" s="368">
        <f t="shared" si="8"/>
        <v>54962.710422728764</v>
      </c>
      <c r="AG20" s="368">
        <f t="shared" si="8"/>
        <v>54161.821825909232</v>
      </c>
      <c r="AH20" s="368">
        <f t="shared" si="8"/>
        <v>53301.341353520875</v>
      </c>
      <c r="AI20" s="368">
        <f t="shared" si="8"/>
        <v>52354.411485645192</v>
      </c>
      <c r="AJ20" s="368">
        <f t="shared" si="8"/>
        <v>51325.963045620272</v>
      </c>
    </row>
    <row r="21" spans="2:36" s="334" customFormat="1" ht="15">
      <c r="B21" s="366" t="str">
        <f>B42</f>
        <v>Žilina &lt;=&gt;  Bratislava hl. st.</v>
      </c>
      <c r="C21" s="367">
        <f>C42</f>
        <v>200.357</v>
      </c>
      <c r="D21" s="944"/>
      <c r="E21" s="355"/>
      <c r="G21" s="368">
        <f>$D18*G31*G42</f>
        <v>0</v>
      </c>
      <c r="H21" s="368">
        <f t="shared" ref="H21:AJ21" si="9">$D18*H31*H42</f>
        <v>0</v>
      </c>
      <c r="I21" s="368">
        <f t="shared" si="9"/>
        <v>0</v>
      </c>
      <c r="J21" s="368">
        <f t="shared" si="9"/>
        <v>0</v>
      </c>
      <c r="K21" s="368">
        <f t="shared" si="9"/>
        <v>45002.15790151609</v>
      </c>
      <c r="L21" s="368">
        <f t="shared" si="9"/>
        <v>90011.024011980873</v>
      </c>
      <c r="M21" s="368">
        <f t="shared" si="9"/>
        <v>89995.447245116316</v>
      </c>
      <c r="N21" s="368">
        <f t="shared" si="9"/>
        <v>89959.443306824978</v>
      </c>
      <c r="O21" s="368">
        <f t="shared" si="9"/>
        <v>89926.833544434994</v>
      </c>
      <c r="P21" s="368">
        <f t="shared" si="9"/>
        <v>89871.508027470816</v>
      </c>
      <c r="Q21" s="368">
        <f t="shared" si="9"/>
        <v>89801.957395086516</v>
      </c>
      <c r="R21" s="368">
        <f t="shared" si="9"/>
        <v>89722.702653902394</v>
      </c>
      <c r="S21" s="368">
        <f t="shared" si="9"/>
        <v>89634.88068511484</v>
      </c>
      <c r="T21" s="368">
        <f t="shared" si="9"/>
        <v>89487.879937513761</v>
      </c>
      <c r="U21" s="368">
        <f t="shared" si="9"/>
        <v>89281.952723947252</v>
      </c>
      <c r="V21" s="368">
        <f t="shared" si="9"/>
        <v>89017.467993199214</v>
      </c>
      <c r="W21" s="368">
        <f t="shared" si="9"/>
        <v>88694.910240058816</v>
      </c>
      <c r="X21" s="368">
        <f t="shared" si="9"/>
        <v>88314.878034473746</v>
      </c>
      <c r="Y21" s="368">
        <f t="shared" si="9"/>
        <v>87855.54497567522</v>
      </c>
      <c r="Z21" s="368">
        <f t="shared" si="9"/>
        <v>87318.092683907234</v>
      </c>
      <c r="AA21" s="368">
        <f t="shared" si="9"/>
        <v>86703.912475080098</v>
      </c>
      <c r="AB21" s="368">
        <f t="shared" si="9"/>
        <v>86014.59936243917</v>
      </c>
      <c r="AC21" s="368">
        <f t="shared" si="9"/>
        <v>85251.945150623345</v>
      </c>
      <c r="AD21" s="368">
        <f t="shared" si="9"/>
        <v>84383.834974986516</v>
      </c>
      <c r="AE21" s="368">
        <f t="shared" si="9"/>
        <v>83413.489274161184</v>
      </c>
      <c r="AF21" s="368">
        <f t="shared" si="9"/>
        <v>82344.503653839231</v>
      </c>
      <c r="AG21" s="368">
        <f t="shared" si="9"/>
        <v>81180.826628584153</v>
      </c>
      <c r="AH21" s="368">
        <f t="shared" si="9"/>
        <v>79926.73523830749</v>
      </c>
      <c r="AI21" s="368">
        <f t="shared" si="9"/>
        <v>78541.817649437347</v>
      </c>
      <c r="AJ21" s="368">
        <f t="shared" si="9"/>
        <v>77033.299998262795</v>
      </c>
    </row>
    <row r="22" spans="2:36" s="334" customFormat="1" ht="15"/>
    <row r="23" spans="2:36" s="334" customFormat="1" ht="39" customHeight="1">
      <c r="C23" s="369"/>
      <c r="D23" s="369"/>
      <c r="E23" s="369"/>
    </row>
    <row r="24" spans="2:36" s="334" customFormat="1" ht="15.75" customHeight="1">
      <c r="C24" s="357"/>
      <c r="D24" s="356"/>
      <c r="E24" s="356"/>
      <c r="F24" s="359"/>
    </row>
    <row r="25" spans="2:36" s="334" customFormat="1" ht="15.75" customHeight="1">
      <c r="B25" s="370" t="s">
        <v>463</v>
      </c>
      <c r="C25" s="361"/>
      <c r="D25" s="361"/>
      <c r="E25" s="361"/>
    </row>
    <row r="26" spans="2:36" s="334" customFormat="1" ht="15.75" customHeight="1"/>
    <row r="27" spans="2:36" s="334" customFormat="1" ht="15.75" customHeight="1">
      <c r="B27" s="364" t="s">
        <v>462</v>
      </c>
    </row>
    <row r="28" spans="2:36" s="334" customFormat="1" ht="15.75" customHeight="1">
      <c r="B28" s="921" t="str">
        <f>B39</f>
        <v>Košice &lt;=&gt; Poprad</v>
      </c>
      <c r="C28" s="922"/>
      <c r="D28" s="923"/>
      <c r="E28" s="353"/>
      <c r="G28" s="841">
        <v>0</v>
      </c>
      <c r="H28" s="841">
        <v>0</v>
      </c>
      <c r="I28" s="841">
        <v>0</v>
      </c>
      <c r="J28" s="841">
        <v>0</v>
      </c>
      <c r="K28" s="842">
        <v>0.5</v>
      </c>
      <c r="L28" s="845">
        <v>1</v>
      </c>
      <c r="M28" s="845">
        <v>1</v>
      </c>
      <c r="N28" s="845">
        <v>1</v>
      </c>
      <c r="O28" s="845">
        <v>1</v>
      </c>
      <c r="P28" s="845">
        <v>1</v>
      </c>
      <c r="Q28" s="845">
        <v>1</v>
      </c>
      <c r="R28" s="845">
        <v>1</v>
      </c>
      <c r="S28" s="845">
        <v>1</v>
      </c>
      <c r="T28" s="845">
        <v>1</v>
      </c>
      <c r="U28" s="845">
        <v>1</v>
      </c>
      <c r="V28" s="845">
        <v>1</v>
      </c>
      <c r="W28" s="845">
        <v>1</v>
      </c>
      <c r="X28" s="845">
        <v>1</v>
      </c>
      <c r="Y28" s="845">
        <v>1</v>
      </c>
      <c r="Z28" s="845">
        <v>1</v>
      </c>
      <c r="AA28" s="845">
        <v>1</v>
      </c>
      <c r="AB28" s="845">
        <v>1</v>
      </c>
      <c r="AC28" s="845">
        <v>1</v>
      </c>
      <c r="AD28" s="845">
        <v>1</v>
      </c>
      <c r="AE28" s="845">
        <v>1</v>
      </c>
      <c r="AF28" s="845">
        <v>1</v>
      </c>
      <c r="AG28" s="845">
        <v>1</v>
      </c>
      <c r="AH28" s="845">
        <v>1</v>
      </c>
      <c r="AI28" s="845">
        <v>1</v>
      </c>
      <c r="AJ28" s="845">
        <v>1</v>
      </c>
    </row>
    <row r="29" spans="2:36" s="334" customFormat="1" ht="15.75" customHeight="1">
      <c r="B29" s="939" t="str">
        <f>B40</f>
        <v>Poprad &lt;=&gt; Liptovský Mikuláš</v>
      </c>
      <c r="C29" s="940"/>
      <c r="D29" s="941"/>
      <c r="E29" s="371"/>
      <c r="G29" s="841">
        <v>0</v>
      </c>
      <c r="H29" s="841">
        <v>0</v>
      </c>
      <c r="I29" s="841">
        <v>0</v>
      </c>
      <c r="J29" s="841">
        <v>0</v>
      </c>
      <c r="K29" s="842">
        <v>0.5</v>
      </c>
      <c r="L29" s="845">
        <v>1</v>
      </c>
      <c r="M29" s="845">
        <v>1</v>
      </c>
      <c r="N29" s="845">
        <v>1</v>
      </c>
      <c r="O29" s="845">
        <v>1</v>
      </c>
      <c r="P29" s="845">
        <v>1</v>
      </c>
      <c r="Q29" s="845">
        <v>1</v>
      </c>
      <c r="R29" s="845">
        <v>1</v>
      </c>
      <c r="S29" s="845">
        <v>1</v>
      </c>
      <c r="T29" s="845">
        <v>1</v>
      </c>
      <c r="U29" s="845">
        <v>1</v>
      </c>
      <c r="V29" s="845">
        <v>1</v>
      </c>
      <c r="W29" s="845">
        <v>1</v>
      </c>
      <c r="X29" s="845">
        <v>1</v>
      </c>
      <c r="Y29" s="845">
        <v>1</v>
      </c>
      <c r="Z29" s="845">
        <v>1</v>
      </c>
      <c r="AA29" s="845">
        <v>1</v>
      </c>
      <c r="AB29" s="845">
        <v>1</v>
      </c>
      <c r="AC29" s="845">
        <v>1</v>
      </c>
      <c r="AD29" s="845">
        <v>1</v>
      </c>
      <c r="AE29" s="845">
        <v>1</v>
      </c>
      <c r="AF29" s="845">
        <v>1</v>
      </c>
      <c r="AG29" s="845">
        <v>1</v>
      </c>
      <c r="AH29" s="845">
        <v>1</v>
      </c>
      <c r="AI29" s="845">
        <v>1</v>
      </c>
      <c r="AJ29" s="845">
        <v>1</v>
      </c>
    </row>
    <row r="30" spans="2:36" s="334" customFormat="1" ht="15.75" customHeight="1">
      <c r="B30" s="939" t="str">
        <f>B41</f>
        <v>Liptovský Mikuláš &lt;=&gt;  Žilina</v>
      </c>
      <c r="C30" s="940"/>
      <c r="D30" s="941"/>
      <c r="E30" s="371"/>
      <c r="G30" s="841">
        <v>0</v>
      </c>
      <c r="H30" s="841">
        <v>0</v>
      </c>
      <c r="I30" s="841">
        <v>0</v>
      </c>
      <c r="J30" s="841">
        <v>0</v>
      </c>
      <c r="K30" s="842">
        <v>0.5</v>
      </c>
      <c r="L30" s="845">
        <v>1</v>
      </c>
      <c r="M30" s="845">
        <v>1</v>
      </c>
      <c r="N30" s="845">
        <v>1</v>
      </c>
      <c r="O30" s="845">
        <v>1</v>
      </c>
      <c r="P30" s="845">
        <v>1</v>
      </c>
      <c r="Q30" s="845">
        <v>1</v>
      </c>
      <c r="R30" s="845">
        <v>1</v>
      </c>
      <c r="S30" s="845">
        <v>1</v>
      </c>
      <c r="T30" s="845">
        <v>1</v>
      </c>
      <c r="U30" s="845">
        <v>1</v>
      </c>
      <c r="V30" s="845">
        <v>1</v>
      </c>
      <c r="W30" s="845">
        <v>1</v>
      </c>
      <c r="X30" s="845">
        <v>1</v>
      </c>
      <c r="Y30" s="845">
        <v>1</v>
      </c>
      <c r="Z30" s="845">
        <v>1</v>
      </c>
      <c r="AA30" s="845">
        <v>1</v>
      </c>
      <c r="AB30" s="845">
        <v>1</v>
      </c>
      <c r="AC30" s="845">
        <v>1</v>
      </c>
      <c r="AD30" s="845">
        <v>1</v>
      </c>
      <c r="AE30" s="845">
        <v>1</v>
      </c>
      <c r="AF30" s="845">
        <v>1</v>
      </c>
      <c r="AG30" s="845">
        <v>1</v>
      </c>
      <c r="AH30" s="845">
        <v>1</v>
      </c>
      <c r="AI30" s="845">
        <v>1</v>
      </c>
      <c r="AJ30" s="845">
        <v>1</v>
      </c>
    </row>
    <row r="31" spans="2:36" s="334" customFormat="1" ht="15.75" customHeight="1">
      <c r="B31" s="939" t="str">
        <f>B42</f>
        <v>Žilina &lt;=&gt;  Bratislava hl. st.</v>
      </c>
      <c r="C31" s="940"/>
      <c r="D31" s="941"/>
      <c r="E31" s="371"/>
      <c r="G31" s="841">
        <v>0</v>
      </c>
      <c r="H31" s="841">
        <v>0</v>
      </c>
      <c r="I31" s="841">
        <v>0</v>
      </c>
      <c r="J31" s="841">
        <v>0</v>
      </c>
      <c r="K31" s="842">
        <v>0.5</v>
      </c>
      <c r="L31" s="845">
        <v>1</v>
      </c>
      <c r="M31" s="845">
        <v>1</v>
      </c>
      <c r="N31" s="845">
        <v>1</v>
      </c>
      <c r="O31" s="845">
        <v>1</v>
      </c>
      <c r="P31" s="845">
        <v>1</v>
      </c>
      <c r="Q31" s="845">
        <v>1</v>
      </c>
      <c r="R31" s="845">
        <v>1</v>
      </c>
      <c r="S31" s="845">
        <v>1</v>
      </c>
      <c r="T31" s="845">
        <v>1</v>
      </c>
      <c r="U31" s="845">
        <v>1</v>
      </c>
      <c r="V31" s="845">
        <v>1</v>
      </c>
      <c r="W31" s="845">
        <v>1</v>
      </c>
      <c r="X31" s="845">
        <v>1</v>
      </c>
      <c r="Y31" s="845">
        <v>1</v>
      </c>
      <c r="Z31" s="845">
        <v>1</v>
      </c>
      <c r="AA31" s="845">
        <v>1</v>
      </c>
      <c r="AB31" s="845">
        <v>1</v>
      </c>
      <c r="AC31" s="845">
        <v>1</v>
      </c>
      <c r="AD31" s="845">
        <v>1</v>
      </c>
      <c r="AE31" s="845">
        <v>1</v>
      </c>
      <c r="AF31" s="845">
        <v>1</v>
      </c>
      <c r="AG31" s="845">
        <v>1</v>
      </c>
      <c r="AH31" s="845">
        <v>1</v>
      </c>
      <c r="AI31" s="845">
        <v>1</v>
      </c>
      <c r="AJ31" s="845">
        <v>1</v>
      </c>
    </row>
    <row r="32" spans="2:36" s="334" customFormat="1" ht="15.75" customHeight="1">
      <c r="B32" s="372"/>
      <c r="C32" s="372"/>
      <c r="D32" s="372"/>
      <c r="E32" s="372"/>
      <c r="G32" s="373"/>
      <c r="H32" s="373"/>
      <c r="I32" s="373"/>
      <c r="J32" s="373"/>
      <c r="K32" s="373"/>
      <c r="L32" s="373"/>
      <c r="M32" s="373"/>
      <c r="N32" s="373"/>
      <c r="O32" s="373"/>
      <c r="P32" s="373"/>
      <c r="Q32" s="373"/>
      <c r="R32" s="373"/>
      <c r="S32" s="373"/>
      <c r="T32" s="373"/>
      <c r="U32" s="373"/>
      <c r="V32" s="373"/>
      <c r="W32" s="373"/>
      <c r="X32" s="373"/>
      <c r="Y32" s="373"/>
      <c r="Z32" s="373"/>
      <c r="AA32" s="373"/>
      <c r="AB32" s="373"/>
      <c r="AC32" s="373"/>
      <c r="AD32" s="373"/>
      <c r="AE32" s="373"/>
      <c r="AF32" s="373"/>
      <c r="AG32" s="373"/>
      <c r="AH32" s="373"/>
      <c r="AI32" s="373"/>
    </row>
    <row r="33" spans="2:36" s="334" customFormat="1" ht="39" customHeight="1">
      <c r="C33" s="369"/>
      <c r="D33" s="369"/>
      <c r="E33" s="369"/>
    </row>
    <row r="34" spans="2:36" s="334" customFormat="1" ht="15">
      <c r="E34" s="357"/>
      <c r="F34" s="357"/>
    </row>
    <row r="35" spans="2:36" s="334" customFormat="1" ht="15">
      <c r="C35" s="356" t="s">
        <v>464</v>
      </c>
      <c r="D35" s="356" t="s">
        <v>465</v>
      </c>
      <c r="E35" s="358"/>
      <c r="F35" s="359"/>
      <c r="G35" s="374"/>
      <c r="H35" s="374"/>
      <c r="I35" s="374"/>
      <c r="J35" s="374"/>
      <c r="K35" s="374"/>
      <c r="L35" s="374"/>
      <c r="M35" s="374"/>
      <c r="N35" s="374"/>
      <c r="O35" s="374"/>
      <c r="P35" s="374"/>
      <c r="Q35" s="374"/>
      <c r="R35" s="374"/>
      <c r="S35" s="374"/>
      <c r="T35" s="374"/>
      <c r="U35" s="374"/>
      <c r="V35" s="374"/>
      <c r="W35" s="374"/>
      <c r="X35" s="374"/>
      <c r="Y35" s="374"/>
      <c r="Z35" s="374"/>
      <c r="AA35" s="374"/>
      <c r="AB35" s="374"/>
      <c r="AC35" s="374"/>
      <c r="AD35" s="374"/>
      <c r="AE35" s="374"/>
      <c r="AF35" s="374"/>
      <c r="AG35" s="374"/>
      <c r="AH35" s="374"/>
      <c r="AI35" s="374"/>
    </row>
    <row r="36" spans="2:36" s="334" customFormat="1">
      <c r="B36" s="370" t="s">
        <v>458</v>
      </c>
      <c r="C36" s="361">
        <f>SUM(C39:C42)</f>
        <v>442.98199999999997</v>
      </c>
      <c r="D36" s="361">
        <f>AVERAGE(D39:D42)</f>
        <v>2.1500000000000002E-2</v>
      </c>
      <c r="E36" s="362"/>
      <c r="G36" s="363">
        <f>SUMPRODUCT(G39:G42,$C$39:$C$42)/SUM($C$39:$C$42)</f>
        <v>3473838.8785778577</v>
      </c>
      <c r="H36" s="363">
        <f t="shared" ref="H36:AJ36" si="10">SUMPRODUCT(H39:H42,$C$39:$C$42)/SUM($C$39:$C$42)</f>
        <v>3476524.3613250717</v>
      </c>
      <c r="I36" s="363">
        <f t="shared" si="10"/>
        <v>3478290.0259937411</v>
      </c>
      <c r="J36" s="363">
        <f t="shared" si="10"/>
        <v>3480838.4647763544</v>
      </c>
      <c r="K36" s="363">
        <f t="shared" si="10"/>
        <v>3482480.1244620215</v>
      </c>
      <c r="L36" s="363">
        <f t="shared" si="10"/>
        <v>3483141.20503766</v>
      </c>
      <c r="M36" s="363">
        <f t="shared" si="10"/>
        <v>3483045.4622152164</v>
      </c>
      <c r="N36" s="363">
        <f t="shared" si="10"/>
        <v>3482196.1700717467</v>
      </c>
      <c r="O36" s="363">
        <f t="shared" si="10"/>
        <v>3481710.3903786158</v>
      </c>
      <c r="P36" s="363">
        <f t="shared" si="10"/>
        <v>3480414.7688144115</v>
      </c>
      <c r="Q36" s="363">
        <f t="shared" si="10"/>
        <v>3478620.9958191989</v>
      </c>
      <c r="R36" s="363">
        <f t="shared" si="10"/>
        <v>3476440.3834457314</v>
      </c>
      <c r="S36" s="363">
        <f t="shared" si="10"/>
        <v>3473910.5902583082</v>
      </c>
      <c r="T36" s="363">
        <f t="shared" si="10"/>
        <v>3469086.7557884613</v>
      </c>
      <c r="U36" s="363">
        <f t="shared" si="10"/>
        <v>3461976.9248204348</v>
      </c>
      <c r="V36" s="363">
        <f t="shared" si="10"/>
        <v>3452593.6686810465</v>
      </c>
      <c r="W36" s="363">
        <f t="shared" si="10"/>
        <v>3440954.0487151439</v>
      </c>
      <c r="X36" s="363">
        <f t="shared" si="10"/>
        <v>3427079.5649505346</v>
      </c>
      <c r="Y36" s="363">
        <f t="shared" si="10"/>
        <v>3410121.3065998429</v>
      </c>
      <c r="Z36" s="363">
        <f t="shared" si="10"/>
        <v>3390122.7791052153</v>
      </c>
      <c r="AA36" s="363">
        <f t="shared" si="10"/>
        <v>3367135.6685369224</v>
      </c>
      <c r="AB36" s="363">
        <f t="shared" si="10"/>
        <v>3341219.6192067098</v>
      </c>
      <c r="AC36" s="363">
        <f t="shared" si="10"/>
        <v>3312441.9757229034</v>
      </c>
      <c r="AD36" s="363">
        <f t="shared" si="10"/>
        <v>3279552.3723485456</v>
      </c>
      <c r="AE36" s="363">
        <f t="shared" si="10"/>
        <v>3242672.8006911264</v>
      </c>
      <c r="AF36" s="363">
        <f t="shared" si="10"/>
        <v>3201939.9564658026</v>
      </c>
      <c r="AG36" s="363">
        <f t="shared" si="10"/>
        <v>3157504.3931960184</v>
      </c>
      <c r="AH36" s="363">
        <f t="shared" si="10"/>
        <v>3109529.5920042042</v>
      </c>
      <c r="AI36" s="363">
        <f t="shared" si="10"/>
        <v>3056440.1352701327</v>
      </c>
      <c r="AJ36" s="363">
        <f t="shared" si="10"/>
        <v>2998513.267103144</v>
      </c>
    </row>
    <row r="37" spans="2:36" s="334" customFormat="1" ht="15"/>
    <row r="38" spans="2:36" s="334" customFormat="1" ht="15">
      <c r="B38" s="364" t="s">
        <v>462</v>
      </c>
      <c r="D38" s="365"/>
    </row>
    <row r="39" spans="2:36" s="334" customFormat="1" ht="15">
      <c r="B39" s="366" t="s">
        <v>466</v>
      </c>
      <c r="C39" s="367">
        <v>100.74299999999999</v>
      </c>
      <c r="D39" s="942">
        <f>$D$60/60</f>
        <v>2.1500000000000002E-2</v>
      </c>
      <c r="E39" s="375"/>
      <c r="G39" s="368">
        <v>2773204.5790629224</v>
      </c>
      <c r="H39" s="352">
        <f t="shared" ref="H39:AJ42" si="11">G39*H7</f>
        <v>2775998.1240593689</v>
      </c>
      <c r="I39" s="352">
        <f t="shared" si="11"/>
        <v>2778258.1972125191</v>
      </c>
      <c r="J39" s="352">
        <f t="shared" si="11"/>
        <v>2782204.5571082281</v>
      </c>
      <c r="K39" s="352">
        <f t="shared" si="11"/>
        <v>2785609.5508458088</v>
      </c>
      <c r="L39" s="352">
        <f t="shared" si="11"/>
        <v>2788460.7292976202</v>
      </c>
      <c r="M39" s="352">
        <f t="shared" si="11"/>
        <v>2790900.5531540215</v>
      </c>
      <c r="N39" s="352">
        <f t="shared" si="11"/>
        <v>2792793.4482730096</v>
      </c>
      <c r="O39" s="352">
        <f t="shared" si="11"/>
        <v>2795746.8169198739</v>
      </c>
      <c r="P39" s="352">
        <f t="shared" si="11"/>
        <v>2798363.3975991686</v>
      </c>
      <c r="Q39" s="352">
        <f t="shared" si="11"/>
        <v>2800695.0414958205</v>
      </c>
      <c r="R39" s="352">
        <f t="shared" si="11"/>
        <v>2802724.3089340124</v>
      </c>
      <c r="S39" s="352">
        <f t="shared" si="11"/>
        <v>2804524.4912622538</v>
      </c>
      <c r="T39" s="352">
        <f t="shared" si="11"/>
        <v>2804468.5269422657</v>
      </c>
      <c r="U39" s="352">
        <f t="shared" si="11"/>
        <v>2802555.2979010236</v>
      </c>
      <c r="V39" s="352">
        <f t="shared" si="11"/>
        <v>2798787.3752810783</v>
      </c>
      <c r="W39" s="352">
        <f t="shared" si="11"/>
        <v>2793171.0149991466</v>
      </c>
      <c r="X39" s="352">
        <f t="shared" si="11"/>
        <v>2785716.1411006022</v>
      </c>
      <c r="Y39" s="352">
        <f t="shared" si="11"/>
        <v>2775724.2725095134</v>
      </c>
      <c r="Z39" s="352">
        <f t="shared" si="11"/>
        <v>2763220.5226047593</v>
      </c>
      <c r="AA39" s="352">
        <f t="shared" si="11"/>
        <v>2748236.8543886077</v>
      </c>
      <c r="AB39" s="352">
        <f t="shared" si="11"/>
        <v>2730811.9448553398</v>
      </c>
      <c r="AC39" s="352">
        <f t="shared" si="11"/>
        <v>2710991.0189094217</v>
      </c>
      <c r="AD39" s="352">
        <f t="shared" si="11"/>
        <v>2687739.6598642296</v>
      </c>
      <c r="AE39" s="352">
        <f t="shared" si="11"/>
        <v>2661144.0780501347</v>
      </c>
      <c r="AF39" s="352">
        <f t="shared" si="11"/>
        <v>2631303.0856040898</v>
      </c>
      <c r="AG39" s="352">
        <f t="shared" si="11"/>
        <v>2598327.4838881949</v>
      </c>
      <c r="AH39" s="352">
        <f t="shared" si="11"/>
        <v>2562339.3763187351</v>
      </c>
      <c r="AI39" s="352">
        <f t="shared" si="11"/>
        <v>2522026.7202740908</v>
      </c>
      <c r="AJ39" s="352">
        <f t="shared" si="11"/>
        <v>2477601.171059791</v>
      </c>
    </row>
    <row r="40" spans="2:36" s="334" customFormat="1" ht="15" customHeight="1">
      <c r="B40" s="366" t="s">
        <v>467</v>
      </c>
      <c r="C40" s="367">
        <v>58.222000000000001</v>
      </c>
      <c r="D40" s="943"/>
      <c r="E40" s="375"/>
      <c r="G40" s="368">
        <v>3211515.9098225497</v>
      </c>
      <c r="H40" s="352">
        <f t="shared" si="11"/>
        <v>3213052.9241562481</v>
      </c>
      <c r="I40" s="352">
        <f t="shared" si="11"/>
        <v>3213914.4179254109</v>
      </c>
      <c r="J40" s="352">
        <f t="shared" si="11"/>
        <v>3216152.4882379859</v>
      </c>
      <c r="K40" s="352">
        <f t="shared" si="11"/>
        <v>3217807.8891543387</v>
      </c>
      <c r="L40" s="352">
        <f t="shared" si="11"/>
        <v>3218572.5434225188</v>
      </c>
      <c r="M40" s="352">
        <f t="shared" si="11"/>
        <v>3218718.8115891875</v>
      </c>
      <c r="N40" s="352">
        <f t="shared" si="11"/>
        <v>3218162.1535130977</v>
      </c>
      <c r="O40" s="352">
        <f t="shared" si="11"/>
        <v>3217613.9756023553</v>
      </c>
      <c r="P40" s="352">
        <f t="shared" si="11"/>
        <v>3216313.2601954821</v>
      </c>
      <c r="Q40" s="352">
        <f t="shared" si="11"/>
        <v>3214568.4479829962</v>
      </c>
      <c r="R40" s="352">
        <f t="shared" si="11"/>
        <v>3212434.1499444232</v>
      </c>
      <c r="S40" s="352">
        <f t="shared" si="11"/>
        <v>3209864.6534670671</v>
      </c>
      <c r="T40" s="352">
        <f t="shared" si="11"/>
        <v>3205174.5355392899</v>
      </c>
      <c r="U40" s="352">
        <f t="shared" si="11"/>
        <v>3198371.6954907128</v>
      </c>
      <c r="V40" s="352">
        <f t="shared" si="11"/>
        <v>3189468.217748573</v>
      </c>
      <c r="W40" s="352">
        <f t="shared" si="11"/>
        <v>3178480.3365246109</v>
      </c>
      <c r="X40" s="352">
        <f t="shared" si="11"/>
        <v>3165428.3868089784</v>
      </c>
      <c r="Y40" s="352">
        <f t="shared" si="11"/>
        <v>3149528.8069687188</v>
      </c>
      <c r="Z40" s="352">
        <f t="shared" si="11"/>
        <v>3130822.4354107096</v>
      </c>
      <c r="AA40" s="352">
        <f t="shared" si="11"/>
        <v>3109357.6604138282</v>
      </c>
      <c r="AB40" s="352">
        <f t="shared" si="11"/>
        <v>3085190.2117283307</v>
      </c>
      <c r="AC40" s="352">
        <f t="shared" si="11"/>
        <v>3058382.919387422</v>
      </c>
      <c r="AD40" s="352">
        <f t="shared" si="11"/>
        <v>3027782.0514850104</v>
      </c>
      <c r="AE40" s="352">
        <f t="shared" si="11"/>
        <v>2993501.145450844</v>
      </c>
      <c r="AF40" s="352">
        <f t="shared" si="11"/>
        <v>2955667.2870143796</v>
      </c>
      <c r="AG40" s="352">
        <f t="shared" si="11"/>
        <v>2914420.3232259504</v>
      </c>
      <c r="AH40" s="352">
        <f t="shared" si="11"/>
        <v>2869911.9983116183</v>
      </c>
      <c r="AI40" s="352">
        <f t="shared" si="11"/>
        <v>2820689.244725937</v>
      </c>
      <c r="AJ40" s="352">
        <f t="shared" si="11"/>
        <v>2767009.093545997</v>
      </c>
    </row>
    <row r="41" spans="2:36" s="334" customFormat="1" ht="15" customHeight="1">
      <c r="B41" s="366" t="s">
        <v>468</v>
      </c>
      <c r="C41" s="367">
        <v>83.66</v>
      </c>
      <c r="D41" s="943"/>
      <c r="E41" s="375"/>
      <c r="G41" s="368">
        <v>2822197.5830485164</v>
      </c>
      <c r="H41" s="352">
        <f t="shared" si="11"/>
        <v>2821766.7953502331</v>
      </c>
      <c r="I41" s="352">
        <f t="shared" si="11"/>
        <v>2820672.3984519648</v>
      </c>
      <c r="J41" s="352">
        <f t="shared" si="11"/>
        <v>2820801.0160898655</v>
      </c>
      <c r="K41" s="352">
        <f t="shared" si="11"/>
        <v>2820394.4178059422</v>
      </c>
      <c r="L41" s="352">
        <f t="shared" si="11"/>
        <v>2819182.1000053971</v>
      </c>
      <c r="M41" s="352">
        <f t="shared" si="11"/>
        <v>2817370.4248526655</v>
      </c>
      <c r="N41" s="352">
        <f t="shared" si="11"/>
        <v>2814991.8791948822</v>
      </c>
      <c r="O41" s="352">
        <f t="shared" si="11"/>
        <v>2812877.1438054275</v>
      </c>
      <c r="P41" s="352">
        <f t="shared" si="11"/>
        <v>2809933.8694324889</v>
      </c>
      <c r="Q41" s="352">
        <f t="shared" si="11"/>
        <v>2806589.5949573396</v>
      </c>
      <c r="R41" s="352">
        <f t="shared" si="11"/>
        <v>2802913.1185546019</v>
      </c>
      <c r="S41" s="352">
        <f t="shared" si="11"/>
        <v>2798920.7615127275</v>
      </c>
      <c r="T41" s="352">
        <f t="shared" si="11"/>
        <v>2793084.3274867455</v>
      </c>
      <c r="U41" s="352">
        <f t="shared" si="11"/>
        <v>2785414.1575243156</v>
      </c>
      <c r="V41" s="352">
        <f t="shared" si="11"/>
        <v>2775924.2136070686</v>
      </c>
      <c r="W41" s="352">
        <f t="shared" si="11"/>
        <v>2764632.0365840602</v>
      </c>
      <c r="X41" s="352">
        <f t="shared" si="11"/>
        <v>2751558.6923390529</v>
      </c>
      <c r="Y41" s="352">
        <f t="shared" si="11"/>
        <v>2736026.8453712864</v>
      </c>
      <c r="Z41" s="352">
        <f t="shared" si="11"/>
        <v>2718076.5745751364</v>
      </c>
      <c r="AA41" s="352">
        <f t="shared" si="11"/>
        <v>2697754.4148749569</v>
      </c>
      <c r="AB41" s="352">
        <f t="shared" si="11"/>
        <v>2675113.1561989933</v>
      </c>
      <c r="AC41" s="352">
        <f t="shared" si="11"/>
        <v>2650211.6147571667</v>
      </c>
      <c r="AD41" s="352">
        <f t="shared" si="11"/>
        <v>2622054.9242749503</v>
      </c>
      <c r="AE41" s="352">
        <f t="shared" si="11"/>
        <v>2590747.4784863498</v>
      </c>
      <c r="AF41" s="352">
        <f t="shared" si="11"/>
        <v>2556405.1359408726</v>
      </c>
      <c r="AG41" s="352">
        <f t="shared" si="11"/>
        <v>2519154.5035306616</v>
      </c>
      <c r="AH41" s="352">
        <f t="shared" si="11"/>
        <v>2479132.1559777148</v>
      </c>
      <c r="AI41" s="352">
        <f t="shared" si="11"/>
        <v>2435088.9063090784</v>
      </c>
      <c r="AJ41" s="352">
        <f t="shared" si="11"/>
        <v>2387254.0951451287</v>
      </c>
    </row>
    <row r="42" spans="2:36" s="334" customFormat="1" ht="15">
      <c r="B42" s="366" t="s">
        <v>469</v>
      </c>
      <c r="C42" s="367">
        <v>200.357</v>
      </c>
      <c r="D42" s="944"/>
      <c r="E42" s="375"/>
      <c r="G42" s="368">
        <v>4174454.6789087141</v>
      </c>
      <c r="H42" s="352">
        <f t="shared" si="11"/>
        <v>4178720.7742537786</v>
      </c>
      <c r="I42" s="352">
        <f t="shared" si="11"/>
        <v>4181694.8179401457</v>
      </c>
      <c r="J42" s="352">
        <f t="shared" si="11"/>
        <v>4184640.9555470208</v>
      </c>
      <c r="K42" s="352">
        <f t="shared" si="11"/>
        <v>4186247.246652659</v>
      </c>
      <c r="L42" s="352">
        <f t="shared" si="11"/>
        <v>4186559.2563712029</v>
      </c>
      <c r="M42" s="352">
        <f t="shared" si="11"/>
        <v>4185834.7555868053</v>
      </c>
      <c r="N42" s="352">
        <f t="shared" si="11"/>
        <v>4184160.1538058124</v>
      </c>
      <c r="O42" s="352">
        <f t="shared" si="11"/>
        <v>4182643.4206713946</v>
      </c>
      <c r="P42" s="352">
        <f t="shared" si="11"/>
        <v>4180070.1408125958</v>
      </c>
      <c r="Q42" s="352">
        <f t="shared" si="11"/>
        <v>4176835.2276784424</v>
      </c>
      <c r="R42" s="352">
        <f t="shared" si="11"/>
        <v>4173148.9606466228</v>
      </c>
      <c r="S42" s="352">
        <f t="shared" si="11"/>
        <v>4169064.2179123177</v>
      </c>
      <c r="T42" s="352">
        <f t="shared" si="11"/>
        <v>4162226.9738378488</v>
      </c>
      <c r="U42" s="352">
        <f t="shared" si="11"/>
        <v>4152648.9639045228</v>
      </c>
      <c r="V42" s="352">
        <f t="shared" si="11"/>
        <v>4140347.3485208931</v>
      </c>
      <c r="W42" s="352">
        <f t="shared" si="11"/>
        <v>4125344.6623283164</v>
      </c>
      <c r="X42" s="352">
        <f t="shared" si="11"/>
        <v>4107668.7457894762</v>
      </c>
      <c r="Y42" s="352">
        <f t="shared" si="11"/>
        <v>4086304.4174732654</v>
      </c>
      <c r="Z42" s="352">
        <f t="shared" si="11"/>
        <v>4061306.6364608016</v>
      </c>
      <c r="AA42" s="352">
        <f t="shared" si="11"/>
        <v>4032740.1151200044</v>
      </c>
      <c r="AB42" s="352">
        <f t="shared" si="11"/>
        <v>4000679.0401134496</v>
      </c>
      <c r="AC42" s="352">
        <f t="shared" si="11"/>
        <v>3965206.7511917832</v>
      </c>
      <c r="AD42" s="352">
        <f t="shared" si="11"/>
        <v>3924829.5337203024</v>
      </c>
      <c r="AE42" s="352">
        <f t="shared" si="11"/>
        <v>3879697.1755423802</v>
      </c>
      <c r="AF42" s="352">
        <f t="shared" si="11"/>
        <v>3829976.9141320572</v>
      </c>
      <c r="AG42" s="352">
        <f t="shared" si="11"/>
        <v>3775852.4013294955</v>
      </c>
      <c r="AH42" s="352">
        <f t="shared" si="11"/>
        <v>3717522.5692236037</v>
      </c>
      <c r="AI42" s="352">
        <f t="shared" si="11"/>
        <v>3653107.7976482483</v>
      </c>
      <c r="AJ42" s="352">
        <f t="shared" si="11"/>
        <v>3582944.1859657108</v>
      </c>
    </row>
    <row r="43" spans="2:36" s="334" customFormat="1" ht="15"/>
    <row r="44" spans="2:36" s="334" customFormat="1" ht="15"/>
    <row r="45" spans="2:36" s="334" customFormat="1" ht="15">
      <c r="L45" s="376"/>
    </row>
    <row r="46" spans="2:36" s="334" customFormat="1" thickBot="1"/>
    <row r="47" spans="2:36" s="334" customFormat="1" ht="15">
      <c r="B47" s="935" t="s">
        <v>478</v>
      </c>
      <c r="C47" s="384" t="s">
        <v>479</v>
      </c>
      <c r="D47" s="937" t="s">
        <v>475</v>
      </c>
    </row>
    <row r="48" spans="2:36" s="334" customFormat="1" thickBot="1">
      <c r="B48" s="936"/>
      <c r="C48" s="385" t="s">
        <v>480</v>
      </c>
      <c r="D48" s="938"/>
    </row>
    <row r="49" spans="2:4">
      <c r="B49" s="386" t="s">
        <v>481</v>
      </c>
      <c r="C49" s="387">
        <v>0.15</v>
      </c>
      <c r="D49" s="387">
        <v>0.15</v>
      </c>
    </row>
    <row r="50" spans="2:4">
      <c r="B50" s="388" t="s">
        <v>482</v>
      </c>
      <c r="C50" s="389">
        <v>0.22</v>
      </c>
      <c r="D50" s="389">
        <v>0.22</v>
      </c>
    </row>
    <row r="51" spans="2:4">
      <c r="B51" s="388" t="s">
        <v>483</v>
      </c>
      <c r="C51" s="389">
        <v>7.0000000000000007E-2</v>
      </c>
      <c r="D51" s="389">
        <v>7.0000000000000007E-2</v>
      </c>
    </row>
    <row r="52" spans="2:4">
      <c r="B52" s="388" t="s">
        <v>484</v>
      </c>
      <c r="C52" s="389">
        <v>0.1</v>
      </c>
      <c r="D52" s="389">
        <v>0.1</v>
      </c>
    </row>
    <row r="53" spans="2:4">
      <c r="B53" s="388" t="s">
        <v>485</v>
      </c>
      <c r="C53" s="389">
        <v>0.22</v>
      </c>
      <c r="D53" s="389">
        <v>0.22</v>
      </c>
    </row>
    <row r="54" spans="2:4">
      <c r="B54" s="388" t="s">
        <v>486</v>
      </c>
      <c r="C54" s="389">
        <v>0.15</v>
      </c>
      <c r="D54" s="389">
        <v>0.15</v>
      </c>
    </row>
    <row r="55" spans="2:4">
      <c r="B55" s="388" t="s">
        <v>487</v>
      </c>
      <c r="C55" s="389">
        <v>0.13</v>
      </c>
      <c r="D55" s="389">
        <v>0</v>
      </c>
    </row>
    <row r="56" spans="2:4">
      <c r="B56" s="388" t="s">
        <v>488</v>
      </c>
      <c r="C56" s="389">
        <v>0.26</v>
      </c>
      <c r="D56" s="389">
        <v>0</v>
      </c>
    </row>
    <row r="57" spans="2:4">
      <c r="B57" s="388" t="s">
        <v>489</v>
      </c>
      <c r="C57" s="389">
        <v>0.08</v>
      </c>
      <c r="D57" s="389">
        <v>0</v>
      </c>
    </row>
    <row r="58" spans="2:4">
      <c r="B58" s="388" t="s">
        <v>490</v>
      </c>
      <c r="C58" s="389">
        <v>0.16</v>
      </c>
      <c r="D58" s="389">
        <v>0</v>
      </c>
    </row>
    <row r="59" spans="2:4" ht="16.5" thickBot="1">
      <c r="B59" s="388" t="s">
        <v>491</v>
      </c>
      <c r="C59" s="390">
        <v>0.38</v>
      </c>
      <c r="D59" s="390">
        <v>0.38</v>
      </c>
    </row>
    <row r="60" spans="2:4" ht="16.5" thickBot="1">
      <c r="B60" s="391" t="s">
        <v>492</v>
      </c>
      <c r="C60" s="395">
        <f>SUM(C49:C59)</f>
        <v>1.92</v>
      </c>
      <c r="D60" s="924">
        <f>SUM(D49:D59)</f>
        <v>1.29</v>
      </c>
    </row>
    <row r="61" spans="2:4" ht="16.5" thickBot="1">
      <c r="B61" s="392" t="s">
        <v>493</v>
      </c>
      <c r="C61" s="393">
        <v>2.23</v>
      </c>
      <c r="D61" s="925"/>
    </row>
    <row r="62" spans="2:4" ht="26.25">
      <c r="B62" s="394" t="s">
        <v>494</v>
      </c>
      <c r="C62"/>
      <c r="D62"/>
    </row>
  </sheetData>
  <sheetProtection algorithmName="SHA-512" hashValue="N2hDjh+1imAD7IXbQH2qU8n7UHpe2FvPmyhHI37wqTIgmnHbmzlcb6IRjnfH3lUcwQEcFQh093+wVZd8WZX3NQ==" saltValue="PdptCHcdYf0dNkmSB4Th3Q==" spinCount="100000" sheet="1" objects="1" scenarios="1"/>
  <mergeCells count="14">
    <mergeCell ref="D60:D61"/>
    <mergeCell ref="B1:F1"/>
    <mergeCell ref="C4:F4"/>
    <mergeCell ref="C6:F6"/>
    <mergeCell ref="B7:C10"/>
    <mergeCell ref="E7:F10"/>
    <mergeCell ref="B28:D28"/>
    <mergeCell ref="D39:D42"/>
    <mergeCell ref="D18:D21"/>
    <mergeCell ref="B29:D29"/>
    <mergeCell ref="B30:D30"/>
    <mergeCell ref="B31:D31"/>
    <mergeCell ref="B47:B48"/>
    <mergeCell ref="D47:D48"/>
  </mergeCells>
  <conditionalFormatting sqref="G28:AJ31">
    <cfRule type="cellIs" dxfId="3" priority="1" operator="between">
      <formula>0.01</formula>
      <formula>0.99</formula>
    </cfRule>
    <cfRule type="cellIs" dxfId="2" priority="2" operator="equal">
      <formula>1</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4A5C4-8DC2-3448-833E-EDFFE2A44E1F}">
  <sheetPr>
    <tabColor rgb="FF92D050"/>
  </sheetPr>
  <dimension ref="B2:AG19"/>
  <sheetViews>
    <sheetView zoomScale="80" zoomScaleNormal="80" workbookViewId="0">
      <selection activeCell="BH65" sqref="BH65"/>
    </sheetView>
  </sheetViews>
  <sheetFormatPr defaultColWidth="9.140625" defaultRowHeight="11.25"/>
  <cols>
    <col min="1" max="1" width="2.7109375" style="2" customWidth="1"/>
    <col min="2" max="2" width="45.42578125" style="2" bestFit="1" customWidth="1"/>
    <col min="3" max="3" width="10.7109375" style="2" customWidth="1"/>
    <col min="4" max="33" width="8.7109375" style="2" customWidth="1"/>
    <col min="34" max="16384" width="9.140625" style="2"/>
  </cols>
  <sheetData>
    <row r="2" spans="2:33">
      <c r="B2" s="3"/>
      <c r="C2" s="3"/>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c r="C3" s="4"/>
      <c r="D3" s="3">
        <v>1</v>
      </c>
      <c r="E3" s="3">
        <v>2</v>
      </c>
      <c r="F3" s="3">
        <v>3</v>
      </c>
      <c r="G3" s="3">
        <v>4</v>
      </c>
      <c r="H3" s="3">
        <v>5</v>
      </c>
      <c r="I3" s="3">
        <v>6</v>
      </c>
      <c r="J3" s="3">
        <v>7</v>
      </c>
      <c r="K3" s="3">
        <v>8</v>
      </c>
      <c r="L3" s="3">
        <v>9</v>
      </c>
      <c r="M3" s="3">
        <v>10</v>
      </c>
      <c r="N3" s="3">
        <v>11</v>
      </c>
      <c r="O3" s="3">
        <v>12</v>
      </c>
      <c r="P3" s="3">
        <v>13</v>
      </c>
      <c r="Q3" s="3">
        <v>14</v>
      </c>
      <c r="R3" s="3">
        <v>15</v>
      </c>
      <c r="S3" s="3">
        <v>16</v>
      </c>
      <c r="T3" s="3">
        <v>17</v>
      </c>
      <c r="U3" s="3">
        <v>18</v>
      </c>
      <c r="V3" s="3">
        <v>19</v>
      </c>
      <c r="W3" s="3">
        <v>20</v>
      </c>
      <c r="X3" s="3">
        <v>21</v>
      </c>
      <c r="Y3" s="3">
        <v>22</v>
      </c>
      <c r="Z3" s="3">
        <v>23</v>
      </c>
      <c r="AA3" s="3">
        <v>24</v>
      </c>
      <c r="AB3" s="3">
        <v>25</v>
      </c>
      <c r="AC3" s="3">
        <v>26</v>
      </c>
      <c r="AD3" s="3">
        <v>27</v>
      </c>
      <c r="AE3" s="3">
        <v>28</v>
      </c>
      <c r="AF3" s="3">
        <v>29</v>
      </c>
      <c r="AG3" s="3">
        <v>30</v>
      </c>
    </row>
    <row r="4" spans="2:33">
      <c r="B4" s="6" t="s">
        <v>450</v>
      </c>
      <c r="C4" s="6" t="s">
        <v>9</v>
      </c>
      <c r="D4" s="17">
        <f>Parametre!C13</f>
        <v>2023</v>
      </c>
      <c r="E4" s="17">
        <f>$D$4+D3</f>
        <v>2024</v>
      </c>
      <c r="F4" s="17">
        <f>$D$4+E3</f>
        <v>2025</v>
      </c>
      <c r="G4" s="17">
        <f t="shared" ref="G4:AG4" si="0">$D$4+F3</f>
        <v>2026</v>
      </c>
      <c r="H4" s="17">
        <f t="shared" si="0"/>
        <v>2027</v>
      </c>
      <c r="I4" s="17">
        <f t="shared" si="0"/>
        <v>2028</v>
      </c>
      <c r="J4" s="17">
        <f t="shared" si="0"/>
        <v>2029</v>
      </c>
      <c r="K4" s="17">
        <f t="shared" si="0"/>
        <v>2030</v>
      </c>
      <c r="L4" s="17">
        <f t="shared" si="0"/>
        <v>2031</v>
      </c>
      <c r="M4" s="17">
        <f t="shared" si="0"/>
        <v>2032</v>
      </c>
      <c r="N4" s="17">
        <f t="shared" si="0"/>
        <v>2033</v>
      </c>
      <c r="O4" s="17">
        <f t="shared" si="0"/>
        <v>2034</v>
      </c>
      <c r="P4" s="17">
        <f t="shared" si="0"/>
        <v>2035</v>
      </c>
      <c r="Q4" s="17">
        <f t="shared" si="0"/>
        <v>2036</v>
      </c>
      <c r="R4" s="17">
        <f t="shared" si="0"/>
        <v>2037</v>
      </c>
      <c r="S4" s="17">
        <f t="shared" si="0"/>
        <v>2038</v>
      </c>
      <c r="T4" s="17">
        <f t="shared" si="0"/>
        <v>2039</v>
      </c>
      <c r="U4" s="17">
        <f t="shared" si="0"/>
        <v>2040</v>
      </c>
      <c r="V4" s="17">
        <f t="shared" si="0"/>
        <v>2041</v>
      </c>
      <c r="W4" s="17">
        <f t="shared" si="0"/>
        <v>2042</v>
      </c>
      <c r="X4" s="17">
        <f t="shared" si="0"/>
        <v>2043</v>
      </c>
      <c r="Y4" s="17">
        <f t="shared" si="0"/>
        <v>2044</v>
      </c>
      <c r="Z4" s="17">
        <f t="shared" si="0"/>
        <v>2045</v>
      </c>
      <c r="AA4" s="17">
        <f t="shared" si="0"/>
        <v>2046</v>
      </c>
      <c r="AB4" s="17">
        <f t="shared" si="0"/>
        <v>2047</v>
      </c>
      <c r="AC4" s="17">
        <f t="shared" si="0"/>
        <v>2048</v>
      </c>
      <c r="AD4" s="17">
        <f t="shared" si="0"/>
        <v>2049</v>
      </c>
      <c r="AE4" s="17">
        <f t="shared" si="0"/>
        <v>2050</v>
      </c>
      <c r="AF4" s="17">
        <f t="shared" si="0"/>
        <v>2051</v>
      </c>
      <c r="AG4" s="17">
        <f t="shared" si="0"/>
        <v>2052</v>
      </c>
    </row>
    <row r="5" spans="2:33" ht="12" thickBot="1">
      <c r="B5" s="22" t="s">
        <v>451</v>
      </c>
      <c r="C5" s="131">
        <f>SUM(D5:AG5)</f>
        <v>6887223.3489864646</v>
      </c>
      <c r="D5" s="131">
        <f>'Úspora času cestujúci - nájom'!G4</f>
        <v>0</v>
      </c>
      <c r="E5" s="131">
        <f>'Úspora času cestujúci - nájom'!H4</f>
        <v>0</v>
      </c>
      <c r="F5" s="131">
        <f>'Úspora času cestujúci - nájom'!I4</f>
        <v>0</v>
      </c>
      <c r="G5" s="131">
        <f>'Úspora času cestujúci - nájom'!J4</f>
        <v>0</v>
      </c>
      <c r="H5" s="131">
        <f>'Úspora času cestujúci - nájom'!K4</f>
        <v>139858.13537293157</v>
      </c>
      <c r="I5" s="131">
        <f>'Úspora času cestujúci - nájom'!L4</f>
        <v>279774.65452557994</v>
      </c>
      <c r="J5" s="131">
        <f>'Úspora času cestujúci - nájom'!M4</f>
        <v>279775.72772142763</v>
      </c>
      <c r="K5" s="131">
        <f>'Úspora času cestujúci - nájom'!N4</f>
        <v>279717.31414791627</v>
      </c>
      <c r="L5" s="131">
        <f>'Úspora času cestujúci - nájom'!O4</f>
        <v>279690.94917547965</v>
      </c>
      <c r="M5" s="131">
        <f>'Úspora času cestujúci - nájom'!P4</f>
        <v>279600.6343628543</v>
      </c>
      <c r="N5" s="131">
        <f>'Úspora času cestujúci - nájom'!Q4</f>
        <v>279471.79871046392</v>
      </c>
      <c r="O5" s="131">
        <f>'Úspora času cestujúci - nájom'!R4</f>
        <v>279311.24156871275</v>
      </c>
      <c r="P5" s="131">
        <f>'Úspora času cestujúci - nájom'!S4</f>
        <v>279121.0436693189</v>
      </c>
      <c r="Q5" s="131">
        <f>'Úspora času cestujúci - nájom'!T4</f>
        <v>278746.51882183226</v>
      </c>
      <c r="R5" s="131">
        <f>'Úspora času cestujúci - nájom'!U4</f>
        <v>278188.28746864235</v>
      </c>
      <c r="S5" s="131">
        <f>'Úspora času cestujúci - nájom'!V4</f>
        <v>277447.33383588871</v>
      </c>
      <c r="T5" s="131">
        <f>'Úspora času cestujúci - nájom'!W4</f>
        <v>276525.00308437692</v>
      </c>
      <c r="U5" s="131">
        <f>'Úspora času cestujúci - nájom'!X4</f>
        <v>275422.99726981937</v>
      </c>
      <c r="V5" s="131">
        <f>'Úspora času cestujúci - nájom'!Y4</f>
        <v>274073.0633599399</v>
      </c>
      <c r="W5" s="131">
        <f>'Úspora času cestujúci - nájom'!Z4</f>
        <v>272478.66263460525</v>
      </c>
      <c r="X5" s="131">
        <f>'Úspora času cestujúci - nájom'!AA4</f>
        <v>270643.91446314409</v>
      </c>
      <c r="Y5" s="131">
        <f>'Úspora času cestujúci - nájom'!AB4</f>
        <v>268573.57858726644</v>
      </c>
      <c r="Z5" s="131">
        <f>'Úspora času cestujúci - nájom'!AC4</f>
        <v>266273.03454128461</v>
      </c>
      <c r="AA5" s="131">
        <f>'Úspora času cestujúci - nájom'!AD4</f>
        <v>263641.73264090659</v>
      </c>
      <c r="AB5" s="131">
        <f>'Úspora času cestujúci - nájom'!AE4</f>
        <v>260689.43236688874</v>
      </c>
      <c r="AC5" s="131">
        <f>'Úspora času cestujúci - nájom'!AF4</f>
        <v>257427.07708786509</v>
      </c>
      <c r="AD5" s="131">
        <f>'Úspora času cestujúci - nájom'!AG4</f>
        <v>253866.7263074475</v>
      </c>
      <c r="AE5" s="131">
        <f>'Úspora času cestujúci - nájom'!AH4</f>
        <v>250021.48114638095</v>
      </c>
      <c r="AF5" s="131">
        <f>'Úspora času cestujúci - nájom'!AI4</f>
        <v>245764.62238258315</v>
      </c>
      <c r="AG5" s="131">
        <f>'Úspora času cestujúci - nájom'!AJ4</f>
        <v>241118.38373290753</v>
      </c>
    </row>
    <row r="6" spans="2:33" ht="12" thickTop="1">
      <c r="B6" s="25" t="s">
        <v>184</v>
      </c>
      <c r="C6" s="132">
        <f>SUM(D6:AG6)</f>
        <v>296150.60400641791</v>
      </c>
      <c r="D6" s="132">
        <f>D5*Parametre!$C$78</f>
        <v>0</v>
      </c>
      <c r="E6" s="132">
        <f>E5*Parametre!$C$78</f>
        <v>0</v>
      </c>
      <c r="F6" s="132">
        <f>F5*Parametre!$C$78</f>
        <v>0</v>
      </c>
      <c r="G6" s="132">
        <f>G5*Parametre!$C$78</f>
        <v>0</v>
      </c>
      <c r="H6" s="132">
        <f>H5*Parametre!$C$78</f>
        <v>6013.8998210360569</v>
      </c>
      <c r="I6" s="132">
        <f>I5*Parametre!$C$78</f>
        <v>12030.310144599936</v>
      </c>
      <c r="J6" s="132">
        <f>J5*Parametre!$C$78</f>
        <v>12030.356292021386</v>
      </c>
      <c r="K6" s="132">
        <f>K5*Parametre!$C$78</f>
        <v>12027.844508360398</v>
      </c>
      <c r="L6" s="132">
        <f>L5*Parametre!$C$78</f>
        <v>12026.710814545624</v>
      </c>
      <c r="M6" s="132">
        <f>M5*Parametre!$C$78</f>
        <v>12022.827277602733</v>
      </c>
      <c r="N6" s="132">
        <f>N5*Parametre!$C$78</f>
        <v>12017.287344549948</v>
      </c>
      <c r="O6" s="132">
        <f>O5*Parametre!$C$78</f>
        <v>12010.383387454647</v>
      </c>
      <c r="P6" s="132">
        <f>P5*Parametre!$C$78</f>
        <v>12002.204877780712</v>
      </c>
      <c r="Q6" s="132">
        <f>Q5*Parametre!$C$78</f>
        <v>11986.100309338786</v>
      </c>
      <c r="R6" s="132">
        <f>R5*Parametre!$C$78</f>
        <v>11962.09636115162</v>
      </c>
      <c r="S6" s="132">
        <f>S5*Parametre!$C$78</f>
        <v>11930.235354943214</v>
      </c>
      <c r="T6" s="132">
        <f>T5*Parametre!$C$78</f>
        <v>11890.575132628206</v>
      </c>
      <c r="U6" s="132">
        <f>U5*Parametre!$C$78</f>
        <v>11843.188882602231</v>
      </c>
      <c r="V6" s="132">
        <f>V5*Parametre!$C$78</f>
        <v>11785.141724477415</v>
      </c>
      <c r="W6" s="132">
        <f>W5*Parametre!$C$78</f>
        <v>11716.582493288024</v>
      </c>
      <c r="X6" s="132">
        <f>X5*Parametre!$C$78</f>
        <v>11637.688321915195</v>
      </c>
      <c r="Y6" s="132">
        <f>Y5*Parametre!$C$78</f>
        <v>11548.663879252455</v>
      </c>
      <c r="Z6" s="132">
        <f>Z5*Parametre!$C$78</f>
        <v>11449.740485275237</v>
      </c>
      <c r="AA6" s="132">
        <f>AA5*Parametre!$C$78</f>
        <v>11336.594503558983</v>
      </c>
      <c r="AB6" s="132">
        <f>AB5*Parametre!$C$78</f>
        <v>11209.645591776214</v>
      </c>
      <c r="AC6" s="132">
        <f>AC5*Parametre!$C$78</f>
        <v>11069.364314778199</v>
      </c>
      <c r="AD6" s="132">
        <f>AD5*Parametre!$C$78</f>
        <v>10916.269231220242</v>
      </c>
      <c r="AE6" s="132">
        <f>AE5*Parametre!$C$78</f>
        <v>10750.923689294379</v>
      </c>
      <c r="AF6" s="132">
        <f>AF5*Parametre!$C$78</f>
        <v>10567.878762451075</v>
      </c>
      <c r="AG6" s="132">
        <f>AG5*Parametre!$C$78</f>
        <v>10368.090500515023</v>
      </c>
    </row>
    <row r="7" spans="2:33">
      <c r="B7" s="3" t="s">
        <v>115</v>
      </c>
      <c r="C7" s="130">
        <f>SUM(D7:AG7)</f>
        <v>1763129.1773405347</v>
      </c>
      <c r="D7" s="130">
        <f>D5*Parametre!$D$78</f>
        <v>0</v>
      </c>
      <c r="E7" s="130">
        <f>E5*Parametre!$D$78</f>
        <v>0</v>
      </c>
      <c r="F7" s="130">
        <f>F5*Parametre!$D$78</f>
        <v>0</v>
      </c>
      <c r="G7" s="130">
        <f>G5*Parametre!$D$78</f>
        <v>0</v>
      </c>
      <c r="H7" s="130">
        <f>H5*Parametre!$D$78</f>
        <v>35803.682655470482</v>
      </c>
      <c r="I7" s="130">
        <f>I5*Parametre!$D$78</f>
        <v>71622.311558548463</v>
      </c>
      <c r="J7" s="130">
        <f>J5*Parametre!$D$78</f>
        <v>71622.586296685477</v>
      </c>
      <c r="K7" s="130">
        <f>K5*Parametre!$D$78</f>
        <v>71607.632421866569</v>
      </c>
      <c r="L7" s="130">
        <f>L5*Parametre!$D$78</f>
        <v>71600.882988922793</v>
      </c>
      <c r="M7" s="130">
        <f>M5*Parametre!$D$78</f>
        <v>71577.762396890699</v>
      </c>
      <c r="N7" s="130">
        <f>N5*Parametre!$D$78</f>
        <v>71544.780469878766</v>
      </c>
      <c r="O7" s="130">
        <f>O5*Parametre!$D$78</f>
        <v>71503.67784159047</v>
      </c>
      <c r="P7" s="130">
        <f>P5*Parametre!$D$78</f>
        <v>71454.98717934564</v>
      </c>
      <c r="Q7" s="130">
        <f>Q5*Parametre!$D$78</f>
        <v>71359.108818389053</v>
      </c>
      <c r="R7" s="130">
        <f>R5*Parametre!$D$78</f>
        <v>71216.201591972436</v>
      </c>
      <c r="S7" s="130">
        <f>S5*Parametre!$D$78</f>
        <v>71026.517461987518</v>
      </c>
      <c r="T7" s="130">
        <f>T5*Parametre!$D$78</f>
        <v>70790.400789600491</v>
      </c>
      <c r="U7" s="130">
        <f>U5*Parametre!$D$78</f>
        <v>70508.287301073768</v>
      </c>
      <c r="V7" s="130">
        <f>V5*Parametre!$D$78</f>
        <v>70162.704220144617</v>
      </c>
      <c r="W7" s="130">
        <f>W5*Parametre!$D$78</f>
        <v>69754.537634458946</v>
      </c>
      <c r="X7" s="130">
        <f>X5*Parametre!$D$78</f>
        <v>69284.842102564886</v>
      </c>
      <c r="Y7" s="130">
        <f>Y5*Parametre!$D$78</f>
        <v>68754.836118340216</v>
      </c>
      <c r="Z7" s="130">
        <f>Z5*Parametre!$D$78</f>
        <v>68165.896842568865</v>
      </c>
      <c r="AA7" s="130">
        <f>AA5*Parametre!$D$78</f>
        <v>67492.283556072085</v>
      </c>
      <c r="AB7" s="130">
        <f>AB5*Parametre!$D$78</f>
        <v>66736.494685923521</v>
      </c>
      <c r="AC7" s="130">
        <f>AC5*Parametre!$D$78</f>
        <v>65901.331734493462</v>
      </c>
      <c r="AD7" s="130">
        <f>AD5*Parametre!$D$78</f>
        <v>64989.881934706566</v>
      </c>
      <c r="AE7" s="130">
        <f>AE5*Parametre!$D$78</f>
        <v>64005.499173473523</v>
      </c>
      <c r="AF7" s="130">
        <f>AF5*Parametre!$D$78</f>
        <v>62915.743329941288</v>
      </c>
      <c r="AG7" s="130">
        <f>AG5*Parametre!$D$78</f>
        <v>61726.306235624332</v>
      </c>
    </row>
    <row r="8" spans="2:33">
      <c r="B8" s="3" t="s">
        <v>116</v>
      </c>
      <c r="C8" s="130">
        <f>SUM(D8:AG8)</f>
        <v>4827943.5676395101</v>
      </c>
      <c r="D8" s="130">
        <f>D5*Parametre!$E$78</f>
        <v>0</v>
      </c>
      <c r="E8" s="130">
        <f>E5*Parametre!$E$78</f>
        <v>0</v>
      </c>
      <c r="F8" s="130">
        <f>F5*Parametre!$E$78</f>
        <v>0</v>
      </c>
      <c r="G8" s="130">
        <f>G5*Parametre!$E$78</f>
        <v>0</v>
      </c>
      <c r="H8" s="130">
        <f>H5*Parametre!$E$78</f>
        <v>98040.552896425026</v>
      </c>
      <c r="I8" s="130">
        <f>I5*Parametre!$E$78</f>
        <v>196122.03282243153</v>
      </c>
      <c r="J8" s="130">
        <f>J5*Parametre!$E$78</f>
        <v>196122.78513272075</v>
      </c>
      <c r="K8" s="130">
        <f>K5*Parametre!$E$78</f>
        <v>196081.83721768929</v>
      </c>
      <c r="L8" s="130">
        <f>L5*Parametre!$E$78</f>
        <v>196063.35537201122</v>
      </c>
      <c r="M8" s="130">
        <f>M5*Parametre!$E$78</f>
        <v>196000.04468836085</v>
      </c>
      <c r="N8" s="130">
        <f>N5*Parametre!$E$78</f>
        <v>195909.73089603518</v>
      </c>
      <c r="O8" s="130">
        <f>O5*Parametre!$E$78</f>
        <v>195797.18033966763</v>
      </c>
      <c r="P8" s="130">
        <f>P5*Parametre!$E$78</f>
        <v>195663.85161219252</v>
      </c>
      <c r="Q8" s="130">
        <f>Q5*Parametre!$E$78</f>
        <v>195401.30969410439</v>
      </c>
      <c r="R8" s="130">
        <f>R5*Parametre!$E$78</f>
        <v>195009.98951551827</v>
      </c>
      <c r="S8" s="130">
        <f>S5*Parametre!$E$78</f>
        <v>194490.58101895798</v>
      </c>
      <c r="T8" s="130">
        <f>T5*Parametre!$E$78</f>
        <v>193844.02716214821</v>
      </c>
      <c r="U8" s="130">
        <f>U5*Parametre!$E$78</f>
        <v>193071.52108614336</v>
      </c>
      <c r="V8" s="130">
        <f>V5*Parametre!$E$78</f>
        <v>192125.21741531786</v>
      </c>
      <c r="W8" s="130">
        <f>W5*Parametre!$E$78</f>
        <v>191007.54250685827</v>
      </c>
      <c r="X8" s="130">
        <f>X5*Parametre!$E$78</f>
        <v>189721.38403866399</v>
      </c>
      <c r="Y8" s="130">
        <f>Y5*Parametre!$E$78</f>
        <v>188270.07858967377</v>
      </c>
      <c r="Z8" s="130">
        <f>Z5*Parametre!$E$78</f>
        <v>186657.3972134405</v>
      </c>
      <c r="AA8" s="130">
        <f>AA5*Parametre!$E$78</f>
        <v>184812.85458127552</v>
      </c>
      <c r="AB8" s="130">
        <f>AB5*Parametre!$E$78</f>
        <v>182743.292089189</v>
      </c>
      <c r="AC8" s="130">
        <f>AC5*Parametre!$E$78</f>
        <v>180456.38103859342</v>
      </c>
      <c r="AD8" s="130">
        <f>AD5*Parametre!$E$78</f>
        <v>177960.57514152068</v>
      </c>
      <c r="AE8" s="130">
        <f>AE5*Parametre!$E$78</f>
        <v>175265.05828361303</v>
      </c>
      <c r="AF8" s="130">
        <f>AF5*Parametre!$E$78</f>
        <v>172281.00029019077</v>
      </c>
      <c r="AG8" s="130">
        <f>AG5*Parametre!$E$78</f>
        <v>169023.98699676816</v>
      </c>
    </row>
    <row r="10" spans="2:33">
      <c r="B10" s="12" t="s">
        <v>452</v>
      </c>
    </row>
    <row r="11" spans="2:33">
      <c r="B11" s="8" t="s">
        <v>184</v>
      </c>
      <c r="C11" s="130">
        <f>SUM(D11:AG11)</f>
        <v>7032172.9914910765</v>
      </c>
      <c r="D11" s="130">
        <f>D6*Parametre!E82</f>
        <v>0</v>
      </c>
      <c r="E11" s="130">
        <f>E6*Parametre!F82</f>
        <v>0</v>
      </c>
      <c r="F11" s="130">
        <f>F6*Parametre!G82</f>
        <v>0</v>
      </c>
      <c r="G11" s="130">
        <f>G6*Parametre!H82</f>
        <v>0</v>
      </c>
      <c r="H11" s="130">
        <f>H6*Parametre!I82</f>
        <v>127675.0932005955</v>
      </c>
      <c r="I11" s="130">
        <f>I6*Parametre!J82</f>
        <v>258411.06190600665</v>
      </c>
      <c r="J11" s="130">
        <f>J6*Parametre!K82</f>
        <v>261539.94578854492</v>
      </c>
      <c r="K11" s="130">
        <f>K6*Parametre!L82</f>
        <v>264612.57918392878</v>
      </c>
      <c r="L11" s="130">
        <f>L6*Parametre!M82</f>
        <v>266752.44586662191</v>
      </c>
      <c r="M11" s="130">
        <f>M6*Parametre!N82</f>
        <v>268950.64619997318</v>
      </c>
      <c r="N11" s="130">
        <f>N6*Parametre!O82</f>
        <v>271110.00249304681</v>
      </c>
      <c r="O11" s="130">
        <f>O6*Parametre!P82</f>
        <v>273236.22206459322</v>
      </c>
      <c r="P11" s="130">
        <f>P6*Parametre!Q82</f>
        <v>275330.57989628956</v>
      </c>
      <c r="Q11" s="130">
        <f>Q6*Parametre!R82</f>
        <v>277238.50015500613</v>
      </c>
      <c r="R11" s="130">
        <f>R6*Parametre!S82</f>
        <v>278956.0871420558</v>
      </c>
      <c r="S11" s="130">
        <f>S6*Parametre!T82</f>
        <v>280599.13554826437</v>
      </c>
      <c r="T11" s="130">
        <f>T6*Parametre!U82</f>
        <v>282044.44214594102</v>
      </c>
      <c r="U11" s="130">
        <f>U6*Parametre!V82</f>
        <v>283289.0780718454</v>
      </c>
      <c r="V11" s="130">
        <f>V6*Parametre!W82</f>
        <v>283904.06414266094</v>
      </c>
      <c r="W11" s="130">
        <f>W6*Parametre!X82</f>
        <v>284244.29128716746</v>
      </c>
      <c r="X11" s="130">
        <f>X6*Parametre!Y82</f>
        <v>284308.72570438823</v>
      </c>
      <c r="Y11" s="130">
        <f>Y6*Parametre!Z82</f>
        <v>284097.13142961042</v>
      </c>
      <c r="Z11" s="130">
        <f>Z6*Parametre!AA82</f>
        <v>283610.07182026759</v>
      </c>
      <c r="AA11" s="130">
        <f>AA6*Parametre!AB82</f>
        <v>282734.66691876104</v>
      </c>
      <c r="AB11" s="130">
        <f>AB6*Parametre!AC82</f>
        <v>281474.2008095007</v>
      </c>
      <c r="AC11" s="130">
        <f>AC6*Parametre!AD82</f>
        <v>279944.22352074063</v>
      </c>
      <c r="AD11" s="130">
        <f>AD6*Parametre!AE82</f>
        <v>278037.37731917953</v>
      </c>
      <c r="AE11" s="130">
        <f>AE6*Parametre!AF82</f>
        <v>275761.19263040082</v>
      </c>
      <c r="AF11" s="130">
        <f>AF6*Parametre!AG82</f>
        <v>273496.70237223379</v>
      </c>
      <c r="AG11" s="130">
        <f>AG6*Parametre!AH82</f>
        <v>270814.52387345245</v>
      </c>
    </row>
    <row r="12" spans="2:33">
      <c r="B12" s="8" t="s">
        <v>115</v>
      </c>
      <c r="C12" s="130">
        <f>SUM(D12:AG12)</f>
        <v>18742788.283520091</v>
      </c>
      <c r="D12" s="130">
        <f>D7*Parametre!E83</f>
        <v>0</v>
      </c>
      <c r="E12" s="130">
        <f>E7*Parametre!F83</f>
        <v>0</v>
      </c>
      <c r="F12" s="130">
        <f>F7*Parametre!G83</f>
        <v>0</v>
      </c>
      <c r="G12" s="130">
        <f>G7*Parametre!H83</f>
        <v>0</v>
      </c>
      <c r="H12" s="130">
        <f>H7*Parametre!I83</f>
        <v>352308.23732982954</v>
      </c>
      <c r="I12" s="130">
        <f>I7*Parametre!J83</f>
        <v>710493.3306608008</v>
      </c>
      <c r="J12" s="130">
        <f>J7*Parametre!K83</f>
        <v>716225.86296685482</v>
      </c>
      <c r="K12" s="130">
        <f>K7*Parametre!L83</f>
        <v>722521.01113663369</v>
      </c>
      <c r="L12" s="130">
        <f>L7*Parametre!M83</f>
        <v>726748.96233756642</v>
      </c>
      <c r="M12" s="130">
        <f>M7*Parametre!N83</f>
        <v>730808.95407225413</v>
      </c>
      <c r="N12" s="130">
        <f>N7*Parametre!O83</f>
        <v>734764.89542565495</v>
      </c>
      <c r="O12" s="130">
        <f>O7*Parametre!P83</f>
        <v>738632.99210362951</v>
      </c>
      <c r="P12" s="130">
        <f>P7*Parametre!Q83</f>
        <v>742417.31679340126</v>
      </c>
      <c r="Q12" s="130">
        <f>Q7*Parametre!R83</f>
        <v>745702.68715216557</v>
      </c>
      <c r="R12" s="130">
        <f>R7*Parametre!S83</f>
        <v>748482.2787316303</v>
      </c>
      <c r="S12" s="130">
        <f>S7*Parametre!T83</f>
        <v>750750.28957320808</v>
      </c>
      <c r="T12" s="130">
        <f>T7*Parametre!U83</f>
        <v>752501.96039345325</v>
      </c>
      <c r="U12" s="130">
        <f>U7*Parametre!V83</f>
        <v>753733.59124847851</v>
      </c>
      <c r="V12" s="130">
        <f>V7*Parametre!W83</f>
        <v>753547.4433243532</v>
      </c>
      <c r="W12" s="130">
        <f>W7*Parametre!X83</f>
        <v>752651.461075812</v>
      </c>
      <c r="X12" s="130">
        <f>X7*Parametre!Y83</f>
        <v>751047.6883918033</v>
      </c>
      <c r="Y12" s="130">
        <f>Y7*Parametre!Z83</f>
        <v>748740.16532872501</v>
      </c>
      <c r="Z12" s="130">
        <f>Z7*Parametre!AA83</f>
        <v>745734.91145770333</v>
      </c>
      <c r="AA12" s="130">
        <f>AA7*Parametre!AB83</f>
        <v>741740.19628123217</v>
      </c>
      <c r="AB12" s="130">
        <f>AB7*Parametre!AC83</f>
        <v>736770.90133259562</v>
      </c>
      <c r="AC12" s="130">
        <f>AC7*Parametre!AD83</f>
        <v>731504.78225287737</v>
      </c>
      <c r="AD12" s="130">
        <f>AD7*Parametre!AE83</f>
        <v>725287.08239132527</v>
      </c>
      <c r="AE12" s="130">
        <f>AE7*Parametre!AF83</f>
        <v>718141.700726373</v>
      </c>
      <c r="AF12" s="130">
        <f>AF7*Parametre!AG83</f>
        <v>710318.74219503708</v>
      </c>
      <c r="AG12" s="130">
        <f>AG7*Parametre!AH83</f>
        <v>701210.83883669239</v>
      </c>
    </row>
    <row r="13" spans="2:33">
      <c r="B13" s="8" t="s">
        <v>116</v>
      </c>
      <c r="C13" s="133">
        <f>SUM(D13:AG13)</f>
        <v>33679495.521868877</v>
      </c>
      <c r="D13" s="130">
        <f>D8*Parametre!E84</f>
        <v>0</v>
      </c>
      <c r="E13" s="130">
        <f>E8*Parametre!F84</f>
        <v>0</v>
      </c>
      <c r="F13" s="130">
        <f>F8*Parametre!G84</f>
        <v>0</v>
      </c>
      <c r="G13" s="130">
        <f>G8*Parametre!H84</f>
        <v>0</v>
      </c>
      <c r="H13" s="130">
        <f>H8*Parametre!I84</f>
        <v>630400.75512401294</v>
      </c>
      <c r="I13" s="130">
        <f>I8*Parametre!J84</f>
        <v>1270870.7726893565</v>
      </c>
      <c r="J13" s="130">
        <f>J8*Parametre!K84</f>
        <v>1282643.0147679937</v>
      </c>
      <c r="K13" s="130">
        <f>K8*Parametre!L84</f>
        <v>1294140.1256367492</v>
      </c>
      <c r="L13" s="130">
        <f>L8*Parametre!M84</f>
        <v>1301860.6796701546</v>
      </c>
      <c r="M13" s="130">
        <f>M8*Parametre!N84</f>
        <v>1309280.2985182505</v>
      </c>
      <c r="N13" s="130">
        <f>N8*Parametre!O84</f>
        <v>1316513.3916213564</v>
      </c>
      <c r="O13" s="130">
        <f>O8*Parametre!P84</f>
        <v>1323588.939096153</v>
      </c>
      <c r="P13" s="130">
        <f>P8*Parametre!Q84</f>
        <v>1330514.190962909</v>
      </c>
      <c r="Q13" s="130">
        <f>Q8*Parametre!R84</f>
        <v>1336544.9583076739</v>
      </c>
      <c r="R13" s="130">
        <f>R8*Parametre!S84</f>
        <v>1341668.7278667658</v>
      </c>
      <c r="S13" s="130">
        <f>S8*Parametre!T84</f>
        <v>1345874.8206511892</v>
      </c>
      <c r="T13" s="130">
        <f>T8*Parametre!U84</f>
        <v>1349154.4290485515</v>
      </c>
      <c r="U13" s="130">
        <f>U8*Parametre!V84</f>
        <v>1351500.6476030035</v>
      </c>
      <c r="V13" s="130">
        <f>V8*Parametre!W84</f>
        <v>1352561.5306038377</v>
      </c>
      <c r="W13" s="130">
        <f>W8*Parametre!X84</f>
        <v>1352333.4009485566</v>
      </c>
      <c r="X13" s="130">
        <f>X8*Parametre!Y84</f>
        <v>1350816.2543552876</v>
      </c>
      <c r="Y13" s="130">
        <f>Y8*Parametre!Z84</f>
        <v>1348013.7627020641</v>
      </c>
      <c r="Z13" s="130">
        <f>Z8*Parametre!AA84</f>
        <v>1343933.2599367716</v>
      </c>
      <c r="AA13" s="130">
        <f>AA8*Parametre!AB84</f>
        <v>1338045.0671684348</v>
      </c>
      <c r="AB13" s="130">
        <f>AB8*Parametre!AC84</f>
        <v>1330371.166409296</v>
      </c>
      <c r="AC13" s="130">
        <f>AC8*Parametre!AD84</f>
        <v>1320940.7092025038</v>
      </c>
      <c r="AD13" s="130">
        <f>AD8*Parametre!AE84</f>
        <v>1309789.8330415923</v>
      </c>
      <c r="AE13" s="130">
        <f>AE8*Parametre!AF84</f>
        <v>1296961.4312987365</v>
      </c>
      <c r="AF13" s="130">
        <f>AF8*Parametre!AG84</f>
        <v>1283493.4521619212</v>
      </c>
      <c r="AG13" s="130">
        <f>AG8*Parametre!AH84</f>
        <v>1267679.9024757612</v>
      </c>
    </row>
    <row r="14" spans="2:33">
      <c r="B14" s="177" t="s">
        <v>453</v>
      </c>
      <c r="C14" s="178">
        <f>SUM(D14:AG14)</f>
        <v>59454456.796880066</v>
      </c>
      <c r="D14" s="179">
        <f>SUM(D11:D13)</f>
        <v>0</v>
      </c>
      <c r="E14" s="178">
        <f t="shared" ref="E14:AG14" si="1">SUM(E11:E13)</f>
        <v>0</v>
      </c>
      <c r="F14" s="178">
        <f t="shared" si="1"/>
        <v>0</v>
      </c>
      <c r="G14" s="178">
        <f t="shared" si="1"/>
        <v>0</v>
      </c>
      <c r="H14" s="178">
        <f t="shared" si="1"/>
        <v>1110384.085654438</v>
      </c>
      <c r="I14" s="178">
        <f t="shared" si="1"/>
        <v>2239775.165256164</v>
      </c>
      <c r="J14" s="178">
        <f t="shared" si="1"/>
        <v>2260408.8235233934</v>
      </c>
      <c r="K14" s="178">
        <f t="shared" si="1"/>
        <v>2281273.7159573119</v>
      </c>
      <c r="L14" s="178">
        <f t="shared" si="1"/>
        <v>2295362.0878743427</v>
      </c>
      <c r="M14" s="178">
        <f t="shared" si="1"/>
        <v>2309039.8987904778</v>
      </c>
      <c r="N14" s="178">
        <f t="shared" si="1"/>
        <v>2322388.289540058</v>
      </c>
      <c r="O14" s="178">
        <f t="shared" si="1"/>
        <v>2335458.1532643759</v>
      </c>
      <c r="P14" s="178">
        <f t="shared" si="1"/>
        <v>2348262.0876525999</v>
      </c>
      <c r="Q14" s="178">
        <f t="shared" si="1"/>
        <v>2359486.1456148457</v>
      </c>
      <c r="R14" s="178">
        <f t="shared" si="1"/>
        <v>2369107.0937404521</v>
      </c>
      <c r="S14" s="178">
        <f t="shared" si="1"/>
        <v>2377224.2457726616</v>
      </c>
      <c r="T14" s="178">
        <f t="shared" si="1"/>
        <v>2383700.831587946</v>
      </c>
      <c r="U14" s="178">
        <f t="shared" si="1"/>
        <v>2388523.3169233277</v>
      </c>
      <c r="V14" s="178">
        <f t="shared" si="1"/>
        <v>2390013.0380708519</v>
      </c>
      <c r="W14" s="178">
        <f t="shared" si="1"/>
        <v>2389229.1533115362</v>
      </c>
      <c r="X14" s="178">
        <f t="shared" si="1"/>
        <v>2386172.6684514792</v>
      </c>
      <c r="Y14" s="178">
        <f t="shared" si="1"/>
        <v>2380851.0594603997</v>
      </c>
      <c r="Z14" s="178">
        <f t="shared" si="1"/>
        <v>2373278.2432147423</v>
      </c>
      <c r="AA14" s="178">
        <f t="shared" si="1"/>
        <v>2362519.9303684281</v>
      </c>
      <c r="AB14" s="178">
        <f t="shared" si="1"/>
        <v>2348616.2685513925</v>
      </c>
      <c r="AC14" s="178">
        <f t="shared" si="1"/>
        <v>2332389.7149761217</v>
      </c>
      <c r="AD14" s="178">
        <f t="shared" si="1"/>
        <v>2313114.2927520974</v>
      </c>
      <c r="AE14" s="178">
        <f t="shared" si="1"/>
        <v>2290864.3246555105</v>
      </c>
      <c r="AF14" s="178">
        <f t="shared" si="1"/>
        <v>2267308.8967291918</v>
      </c>
      <c r="AG14" s="178">
        <f t="shared" si="1"/>
        <v>2239705.2651859061</v>
      </c>
    </row>
    <row r="16" spans="2:33">
      <c r="B16" s="1" t="s">
        <v>2</v>
      </c>
    </row>
    <row r="17" spans="2:2">
      <c r="B17" s="1" t="s">
        <v>355</v>
      </c>
    </row>
    <row r="18" spans="2:2">
      <c r="B18" s="1" t="s">
        <v>356</v>
      </c>
    </row>
    <row r="19" spans="2:2">
      <c r="B19" s="12"/>
    </row>
  </sheetData>
  <sheetProtection algorithmName="SHA-512" hashValue="oIdaLCe+jAigTTJQDXM0hBGaStiMuVFEpYS6ye3OmYXosyeLAf8tIMoEnAVJ1fvCyDDmPDwxR9PXC9k76HNpFQ==" saltValue="cuphpJm7O1IXQegyJK/XsA==" spinCount="100000" sheet="1" objects="1" scenarios="1"/>
  <pageMargins left="0.2421875" right="0.2421875" top="1" bottom="1" header="0.5" footer="0.5"/>
  <pageSetup paperSize="9" scale="75" orientation="landscape" r:id="rId1"/>
  <headerFooter alignWithMargins="0">
    <oddHeader>&amp;LPríloha 7: Štandardné tabuľky - Cesty
&amp;"Arial,Tučné"&amp;12 07 Ocenenie času</oddHeader>
    <oddFooter>Strana &amp;P z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2B603-9C65-3349-ADD5-91B4103115B1}">
  <dimension ref="B1:AJ67"/>
  <sheetViews>
    <sheetView topLeftCell="C1" zoomScale="80" zoomScaleNormal="80" workbookViewId="0">
      <pane ySplit="7" topLeftCell="A8" activePane="bottomLeft" state="frozen"/>
      <selection pane="bottomLeft" activeCell="L22" sqref="L22:AJ24"/>
    </sheetView>
  </sheetViews>
  <sheetFormatPr defaultColWidth="10.85546875" defaultRowHeight="15.75"/>
  <cols>
    <col min="1" max="1" width="1.42578125" style="396" customWidth="1"/>
    <col min="2" max="2" width="173.42578125" style="396" customWidth="1"/>
    <col min="3" max="3" width="16.85546875" style="396" customWidth="1"/>
    <col min="4" max="4" width="51.7109375" style="396" customWidth="1"/>
    <col min="5" max="5" width="24.42578125" style="396" customWidth="1"/>
    <col min="6" max="6" width="34.7109375" style="396" customWidth="1"/>
    <col min="7" max="16384" width="10.85546875" style="396"/>
  </cols>
  <sheetData>
    <row r="1" spans="2:36">
      <c r="B1" s="926" t="s">
        <v>454</v>
      </c>
      <c r="C1" s="926"/>
      <c r="D1" s="926"/>
      <c r="E1" s="926"/>
      <c r="F1" s="926"/>
      <c r="G1" s="844">
        <v>1</v>
      </c>
      <c r="H1" s="844">
        <v>2</v>
      </c>
      <c r="I1" s="844">
        <v>3</v>
      </c>
      <c r="J1" s="844">
        <v>4</v>
      </c>
      <c r="K1" s="844">
        <v>5</v>
      </c>
      <c r="L1" s="844">
        <v>6</v>
      </c>
      <c r="M1" s="844">
        <v>7</v>
      </c>
      <c r="N1" s="844">
        <v>8</v>
      </c>
      <c r="O1" s="844">
        <v>9</v>
      </c>
      <c r="P1" s="844">
        <v>10</v>
      </c>
      <c r="Q1" s="844">
        <v>11</v>
      </c>
      <c r="R1" s="844">
        <v>12</v>
      </c>
      <c r="S1" s="844">
        <v>13</v>
      </c>
      <c r="T1" s="844">
        <v>14</v>
      </c>
      <c r="U1" s="844">
        <v>15</v>
      </c>
      <c r="V1" s="844">
        <v>16</v>
      </c>
      <c r="W1" s="844">
        <v>17</v>
      </c>
      <c r="X1" s="844">
        <v>18</v>
      </c>
      <c r="Y1" s="844">
        <v>19</v>
      </c>
      <c r="Z1" s="844">
        <v>20</v>
      </c>
      <c r="AA1" s="844">
        <v>21</v>
      </c>
      <c r="AB1" s="844">
        <v>22</v>
      </c>
      <c r="AC1" s="844">
        <v>23</v>
      </c>
      <c r="AD1" s="844">
        <v>24</v>
      </c>
      <c r="AE1" s="844">
        <v>25</v>
      </c>
      <c r="AF1" s="844">
        <v>26</v>
      </c>
      <c r="AG1" s="844">
        <v>27</v>
      </c>
      <c r="AH1" s="844">
        <v>28</v>
      </c>
      <c r="AI1" s="844">
        <v>29</v>
      </c>
      <c r="AJ1" s="844">
        <v>30</v>
      </c>
    </row>
    <row r="2" spans="2:36" ht="16.5" thickBot="1">
      <c r="B2" s="334"/>
      <c r="C2" s="334"/>
      <c r="D2" s="334"/>
      <c r="E2" s="334"/>
      <c r="F2" s="334"/>
      <c r="G2" s="843">
        <v>2023</v>
      </c>
      <c r="H2" s="843">
        <f>G2+$G$1</f>
        <v>2024</v>
      </c>
      <c r="I2" s="843">
        <f t="shared" ref="I2:AJ2" si="0">H2+$G$1</f>
        <v>2025</v>
      </c>
      <c r="J2" s="843">
        <f t="shared" si="0"/>
        <v>2026</v>
      </c>
      <c r="K2" s="843">
        <f t="shared" si="0"/>
        <v>2027</v>
      </c>
      <c r="L2" s="843">
        <f t="shared" si="0"/>
        <v>2028</v>
      </c>
      <c r="M2" s="843">
        <f t="shared" si="0"/>
        <v>2029</v>
      </c>
      <c r="N2" s="843">
        <f t="shared" si="0"/>
        <v>2030</v>
      </c>
      <c r="O2" s="843">
        <f t="shared" si="0"/>
        <v>2031</v>
      </c>
      <c r="P2" s="843">
        <f t="shared" si="0"/>
        <v>2032</v>
      </c>
      <c r="Q2" s="843">
        <f t="shared" si="0"/>
        <v>2033</v>
      </c>
      <c r="R2" s="843">
        <f t="shared" si="0"/>
        <v>2034</v>
      </c>
      <c r="S2" s="843">
        <f t="shared" si="0"/>
        <v>2035</v>
      </c>
      <c r="T2" s="843">
        <f t="shared" si="0"/>
        <v>2036</v>
      </c>
      <c r="U2" s="843">
        <f t="shared" si="0"/>
        <v>2037</v>
      </c>
      <c r="V2" s="843">
        <f t="shared" si="0"/>
        <v>2038</v>
      </c>
      <c r="W2" s="843">
        <f t="shared" si="0"/>
        <v>2039</v>
      </c>
      <c r="X2" s="843">
        <f t="shared" si="0"/>
        <v>2040</v>
      </c>
      <c r="Y2" s="843">
        <f t="shared" si="0"/>
        <v>2041</v>
      </c>
      <c r="Z2" s="843">
        <f t="shared" si="0"/>
        <v>2042</v>
      </c>
      <c r="AA2" s="843">
        <f t="shared" si="0"/>
        <v>2043</v>
      </c>
      <c r="AB2" s="843">
        <f t="shared" si="0"/>
        <v>2044</v>
      </c>
      <c r="AC2" s="843">
        <f t="shared" si="0"/>
        <v>2045</v>
      </c>
      <c r="AD2" s="843">
        <f t="shared" si="0"/>
        <v>2046</v>
      </c>
      <c r="AE2" s="843">
        <f t="shared" si="0"/>
        <v>2047</v>
      </c>
      <c r="AF2" s="843">
        <f t="shared" si="0"/>
        <v>2048</v>
      </c>
      <c r="AG2" s="843">
        <f t="shared" si="0"/>
        <v>2049</v>
      </c>
      <c r="AH2" s="843">
        <f t="shared" si="0"/>
        <v>2050</v>
      </c>
      <c r="AI2" s="843">
        <f t="shared" si="0"/>
        <v>2051</v>
      </c>
      <c r="AJ2" s="843">
        <f t="shared" si="0"/>
        <v>2052</v>
      </c>
    </row>
    <row r="3" spans="2:36" ht="28.5">
      <c r="B3" s="335" t="s">
        <v>455</v>
      </c>
      <c r="C3" s="336"/>
      <c r="D3" s="336"/>
      <c r="E3" s="336"/>
      <c r="F3" s="336"/>
      <c r="G3" s="336"/>
      <c r="H3" s="336"/>
      <c r="I3" s="336"/>
      <c r="J3" s="336"/>
      <c r="K3" s="336"/>
      <c r="L3" s="336"/>
      <c r="M3" s="336"/>
      <c r="N3" s="336"/>
      <c r="O3" s="336"/>
      <c r="P3" s="336"/>
      <c r="Q3" s="336"/>
      <c r="R3" s="336"/>
      <c r="S3" s="336"/>
      <c r="T3" s="336"/>
      <c r="U3" s="336"/>
      <c r="V3" s="336"/>
      <c r="W3" s="336"/>
      <c r="X3" s="336"/>
      <c r="Y3" s="336"/>
      <c r="Z3" s="336"/>
      <c r="AA3" s="336"/>
      <c r="AB3" s="336"/>
      <c r="AC3" s="336"/>
      <c r="AD3" s="336"/>
      <c r="AE3" s="336"/>
      <c r="AF3" s="336"/>
      <c r="AG3" s="336"/>
      <c r="AH3" s="337"/>
      <c r="AI3" s="337"/>
      <c r="AJ3" s="337"/>
    </row>
    <row r="4" spans="2:36">
      <c r="B4" s="378" t="s">
        <v>514</v>
      </c>
      <c r="C4" s="927" t="s">
        <v>457</v>
      </c>
      <c r="D4" s="928"/>
      <c r="E4" s="928"/>
      <c r="F4" s="948"/>
      <c r="G4" s="339">
        <f>SUM(G14:G16)</f>
        <v>0</v>
      </c>
      <c r="H4" s="339">
        <f t="shared" ref="H4:AJ4" si="1">SUM(H14:H16)</f>
        <v>0</v>
      </c>
      <c r="I4" s="339">
        <f t="shared" si="1"/>
        <v>0</v>
      </c>
      <c r="J4" s="339">
        <f t="shared" si="1"/>
        <v>0</v>
      </c>
      <c r="K4" s="339">
        <f t="shared" si="1"/>
        <v>791.62416666666672</v>
      </c>
      <c r="L4" s="339">
        <f t="shared" si="1"/>
        <v>1583.2483333333334</v>
      </c>
      <c r="M4" s="339">
        <f t="shared" si="1"/>
        <v>1583.2483333333334</v>
      </c>
      <c r="N4" s="339">
        <f t="shared" si="1"/>
        <v>1583.2483333333334</v>
      </c>
      <c r="O4" s="339">
        <f t="shared" si="1"/>
        <v>1583.2483333333334</v>
      </c>
      <c r="P4" s="339">
        <f t="shared" si="1"/>
        <v>1583.2483333333334</v>
      </c>
      <c r="Q4" s="339">
        <f t="shared" si="1"/>
        <v>1583.2483333333334</v>
      </c>
      <c r="R4" s="339">
        <f t="shared" si="1"/>
        <v>1583.2483333333334</v>
      </c>
      <c r="S4" s="339">
        <f t="shared" si="1"/>
        <v>1583.2483333333334</v>
      </c>
      <c r="T4" s="339">
        <f t="shared" si="1"/>
        <v>1583.2483333333334</v>
      </c>
      <c r="U4" s="339">
        <f t="shared" si="1"/>
        <v>1583.2483333333334</v>
      </c>
      <c r="V4" s="339">
        <f t="shared" si="1"/>
        <v>1583.2483333333334</v>
      </c>
      <c r="W4" s="339">
        <f t="shared" si="1"/>
        <v>1583.2483333333334</v>
      </c>
      <c r="X4" s="339">
        <f t="shared" si="1"/>
        <v>1583.2483333333334</v>
      </c>
      <c r="Y4" s="339">
        <f t="shared" si="1"/>
        <v>1583.2483333333334</v>
      </c>
      <c r="Z4" s="339">
        <f t="shared" si="1"/>
        <v>1583.2483333333334</v>
      </c>
      <c r="AA4" s="339">
        <f t="shared" si="1"/>
        <v>1583.2483333333334</v>
      </c>
      <c r="AB4" s="339">
        <f t="shared" si="1"/>
        <v>1583.2483333333334</v>
      </c>
      <c r="AC4" s="339">
        <f t="shared" si="1"/>
        <v>1583.2483333333334</v>
      </c>
      <c r="AD4" s="339">
        <f t="shared" si="1"/>
        <v>1583.2483333333334</v>
      </c>
      <c r="AE4" s="339">
        <f t="shared" si="1"/>
        <v>1583.2483333333334</v>
      </c>
      <c r="AF4" s="339">
        <f t="shared" si="1"/>
        <v>1583.2483333333334</v>
      </c>
      <c r="AG4" s="339">
        <f t="shared" si="1"/>
        <v>1583.2483333333334</v>
      </c>
      <c r="AH4" s="339">
        <f t="shared" si="1"/>
        <v>1583.2483333333334</v>
      </c>
      <c r="AI4" s="339">
        <f t="shared" si="1"/>
        <v>1583.2483333333334</v>
      </c>
      <c r="AJ4" s="339">
        <f t="shared" si="1"/>
        <v>1583.2483333333334</v>
      </c>
    </row>
    <row r="5" spans="2:36" ht="6.95" customHeight="1">
      <c r="B5" s="379"/>
      <c r="C5" s="346"/>
      <c r="D5" s="344"/>
      <c r="E5" s="949"/>
      <c r="F5" s="949"/>
      <c r="G5" s="346"/>
      <c r="H5" s="346"/>
      <c r="I5" s="346"/>
      <c r="J5" s="346"/>
      <c r="K5" s="346"/>
      <c r="L5" s="346"/>
      <c r="M5" s="346"/>
      <c r="N5" s="346"/>
      <c r="O5" s="346"/>
      <c r="P5" s="346"/>
      <c r="Q5" s="346"/>
      <c r="R5" s="346"/>
      <c r="S5" s="346"/>
      <c r="T5" s="346"/>
      <c r="U5" s="346"/>
      <c r="V5" s="346"/>
      <c r="W5" s="346"/>
      <c r="X5" s="346"/>
      <c r="Y5" s="346"/>
      <c r="Z5" s="346"/>
      <c r="AA5" s="346"/>
      <c r="AB5" s="346"/>
      <c r="AC5" s="346"/>
      <c r="AD5" s="346"/>
      <c r="AE5" s="346"/>
      <c r="AF5" s="346"/>
      <c r="AG5" s="346"/>
      <c r="AH5" s="346"/>
      <c r="AI5" s="346"/>
      <c r="AJ5" s="346"/>
    </row>
    <row r="6" spans="2:36" ht="17.100000000000001" customHeight="1">
      <c r="B6" s="338" t="s">
        <v>515</v>
      </c>
      <c r="C6" s="927" t="s">
        <v>457</v>
      </c>
      <c r="D6" s="928"/>
      <c r="E6" s="928"/>
      <c r="F6" s="948"/>
      <c r="G6" s="380">
        <f>SUM(G31:G33)</f>
        <v>3163.3333333333335</v>
      </c>
      <c r="H6" s="380">
        <f t="shared" ref="H6:AJ6" si="2">SUM(H31:H33)</f>
        <v>3163.3333333333335</v>
      </c>
      <c r="I6" s="380">
        <f t="shared" si="2"/>
        <v>3163.3333333333335</v>
      </c>
      <c r="J6" s="380">
        <f t="shared" si="2"/>
        <v>3163.3333333333335</v>
      </c>
      <c r="K6" s="380">
        <f>SUM(K31:K33)</f>
        <v>1580.085</v>
      </c>
      <c r="L6" s="380">
        <f t="shared" si="2"/>
        <v>1580.085</v>
      </c>
      <c r="M6" s="380">
        <f t="shared" si="2"/>
        <v>1580.085</v>
      </c>
      <c r="N6" s="380">
        <f t="shared" si="2"/>
        <v>1580.085</v>
      </c>
      <c r="O6" s="380">
        <f t="shared" si="2"/>
        <v>1580.085</v>
      </c>
      <c r="P6" s="380">
        <f t="shared" si="2"/>
        <v>1580.085</v>
      </c>
      <c r="Q6" s="380">
        <f t="shared" si="2"/>
        <v>1580.085</v>
      </c>
      <c r="R6" s="380">
        <f t="shared" si="2"/>
        <v>1580.085</v>
      </c>
      <c r="S6" s="380">
        <f t="shared" si="2"/>
        <v>1580.085</v>
      </c>
      <c r="T6" s="380">
        <f t="shared" si="2"/>
        <v>1580.085</v>
      </c>
      <c r="U6" s="380">
        <f t="shared" si="2"/>
        <v>1580.085</v>
      </c>
      <c r="V6" s="380">
        <f t="shared" si="2"/>
        <v>1580.085</v>
      </c>
      <c r="W6" s="380">
        <f t="shared" si="2"/>
        <v>1580.085</v>
      </c>
      <c r="X6" s="380">
        <f t="shared" si="2"/>
        <v>1580.085</v>
      </c>
      <c r="Y6" s="380">
        <f t="shared" si="2"/>
        <v>1580.085</v>
      </c>
      <c r="Z6" s="380">
        <f t="shared" si="2"/>
        <v>1580.085</v>
      </c>
      <c r="AA6" s="380">
        <f t="shared" si="2"/>
        <v>1580.085</v>
      </c>
      <c r="AB6" s="380">
        <f t="shared" si="2"/>
        <v>1580.085</v>
      </c>
      <c r="AC6" s="380">
        <f t="shared" si="2"/>
        <v>1580.085</v>
      </c>
      <c r="AD6" s="380">
        <f t="shared" si="2"/>
        <v>1580.085</v>
      </c>
      <c r="AE6" s="380">
        <f t="shared" si="2"/>
        <v>1580.085</v>
      </c>
      <c r="AF6" s="380">
        <f t="shared" si="2"/>
        <v>1580.085</v>
      </c>
      <c r="AG6" s="380">
        <f t="shared" si="2"/>
        <v>1580.085</v>
      </c>
      <c r="AH6" s="380">
        <f t="shared" si="2"/>
        <v>1580.085</v>
      </c>
      <c r="AI6" s="380">
        <f t="shared" si="2"/>
        <v>1580.085</v>
      </c>
      <c r="AJ6" s="380">
        <f t="shared" si="2"/>
        <v>1580.085</v>
      </c>
    </row>
    <row r="7" spans="2:36" ht="16.5" thickBot="1">
      <c r="B7" s="381" t="s">
        <v>516</v>
      </c>
      <c r="C7" s="930" t="s">
        <v>457</v>
      </c>
      <c r="D7" s="931"/>
      <c r="E7" s="931"/>
      <c r="F7" s="950"/>
      <c r="G7" s="348">
        <f>SUM(G40:G42)</f>
        <v>3163.3333333333335</v>
      </c>
      <c r="H7" s="348">
        <f t="shared" ref="H7:AJ7" si="3">SUM(H40:H42)</f>
        <v>3163.3333333333335</v>
      </c>
      <c r="I7" s="348">
        <f t="shared" si="3"/>
        <v>3163.3333333333335</v>
      </c>
      <c r="J7" s="348">
        <f t="shared" si="3"/>
        <v>3163.3333333333335</v>
      </c>
      <c r="K7" s="348">
        <f t="shared" si="3"/>
        <v>3163.3333333333335</v>
      </c>
      <c r="L7" s="348">
        <f t="shared" si="3"/>
        <v>3163.3333333333335</v>
      </c>
      <c r="M7" s="348">
        <f t="shared" si="3"/>
        <v>3163.3333333333335</v>
      </c>
      <c r="N7" s="348">
        <f t="shared" si="3"/>
        <v>3163.3333333333335</v>
      </c>
      <c r="O7" s="348">
        <f t="shared" si="3"/>
        <v>3163.3333333333335</v>
      </c>
      <c r="P7" s="348">
        <f t="shared" si="3"/>
        <v>3163.3333333333335</v>
      </c>
      <c r="Q7" s="348">
        <f t="shared" si="3"/>
        <v>3163.3333333333335</v>
      </c>
      <c r="R7" s="348">
        <f t="shared" si="3"/>
        <v>3163.3333333333335</v>
      </c>
      <c r="S7" s="348">
        <f t="shared" si="3"/>
        <v>3163.3333333333335</v>
      </c>
      <c r="T7" s="348">
        <f t="shared" si="3"/>
        <v>3163.3333333333335</v>
      </c>
      <c r="U7" s="348">
        <f t="shared" si="3"/>
        <v>3163.3333333333335</v>
      </c>
      <c r="V7" s="348">
        <f t="shared" si="3"/>
        <v>3163.3333333333335</v>
      </c>
      <c r="W7" s="348">
        <f t="shared" si="3"/>
        <v>3163.3333333333335</v>
      </c>
      <c r="X7" s="348">
        <f t="shared" si="3"/>
        <v>3163.3333333333335</v>
      </c>
      <c r="Y7" s="348">
        <f t="shared" si="3"/>
        <v>3163.3333333333335</v>
      </c>
      <c r="Z7" s="348">
        <f t="shared" si="3"/>
        <v>3163.3333333333335</v>
      </c>
      <c r="AA7" s="348">
        <f t="shared" si="3"/>
        <v>3163.3333333333335</v>
      </c>
      <c r="AB7" s="348">
        <f t="shared" si="3"/>
        <v>3163.3333333333335</v>
      </c>
      <c r="AC7" s="348">
        <f t="shared" si="3"/>
        <v>3163.3333333333335</v>
      </c>
      <c r="AD7" s="348">
        <f t="shared" si="3"/>
        <v>3163.3333333333335</v>
      </c>
      <c r="AE7" s="348">
        <f t="shared" si="3"/>
        <v>3163.3333333333335</v>
      </c>
      <c r="AF7" s="348">
        <f t="shared" si="3"/>
        <v>3163.3333333333335</v>
      </c>
      <c r="AG7" s="348">
        <f t="shared" si="3"/>
        <v>3163.3333333333335</v>
      </c>
      <c r="AH7" s="348">
        <f t="shared" si="3"/>
        <v>3163.3333333333335</v>
      </c>
      <c r="AI7" s="348">
        <f t="shared" si="3"/>
        <v>3163.3333333333335</v>
      </c>
      <c r="AJ7" s="348">
        <f t="shared" si="3"/>
        <v>3163.3333333333335</v>
      </c>
    </row>
    <row r="9" spans="2:36" ht="32.1" customHeight="1"/>
    <row r="11" spans="2:36">
      <c r="C11" s="397" t="s">
        <v>474</v>
      </c>
      <c r="D11" s="370" t="s">
        <v>513</v>
      </c>
    </row>
    <row r="12" spans="2:36">
      <c r="B12" s="370" t="s">
        <v>514</v>
      </c>
    </row>
    <row r="14" spans="2:36">
      <c r="B14" s="398" t="str">
        <f>$B$40</f>
        <v xml:space="preserve">Košice – Poprad – Žilina – Trenčín – Trnava – Bratislava </v>
      </c>
      <c r="C14" s="382">
        <f>C31</f>
        <v>9490</v>
      </c>
      <c r="D14" s="383">
        <f>D40-D31</f>
        <v>0.16683333333333336</v>
      </c>
      <c r="G14" s="399">
        <f>(G40-G31)*G22</f>
        <v>0</v>
      </c>
      <c r="H14" s="399">
        <f t="shared" ref="H14:AJ16" si="4">(H40-H31)*H22</f>
        <v>0</v>
      </c>
      <c r="I14" s="399">
        <f t="shared" si="4"/>
        <v>0</v>
      </c>
      <c r="J14" s="399">
        <f t="shared" si="4"/>
        <v>0</v>
      </c>
      <c r="K14" s="399">
        <f t="shared" si="4"/>
        <v>791.62416666666672</v>
      </c>
      <c r="L14" s="399">
        <f t="shared" si="4"/>
        <v>1583.2483333333334</v>
      </c>
      <c r="M14" s="399">
        <f t="shared" si="4"/>
        <v>1583.2483333333334</v>
      </c>
      <c r="N14" s="399">
        <f t="shared" si="4"/>
        <v>1583.2483333333334</v>
      </c>
      <c r="O14" s="399">
        <f t="shared" si="4"/>
        <v>1583.2483333333334</v>
      </c>
      <c r="P14" s="399">
        <f t="shared" si="4"/>
        <v>1583.2483333333334</v>
      </c>
      <c r="Q14" s="399">
        <f t="shared" si="4"/>
        <v>1583.2483333333334</v>
      </c>
      <c r="R14" s="399">
        <f t="shared" si="4"/>
        <v>1583.2483333333334</v>
      </c>
      <c r="S14" s="399">
        <f t="shared" si="4"/>
        <v>1583.2483333333334</v>
      </c>
      <c r="T14" s="399">
        <f t="shared" si="4"/>
        <v>1583.2483333333334</v>
      </c>
      <c r="U14" s="399">
        <f t="shared" si="4"/>
        <v>1583.2483333333334</v>
      </c>
      <c r="V14" s="399">
        <f t="shared" si="4"/>
        <v>1583.2483333333334</v>
      </c>
      <c r="W14" s="399">
        <f t="shared" si="4"/>
        <v>1583.2483333333334</v>
      </c>
      <c r="X14" s="399">
        <f t="shared" si="4"/>
        <v>1583.2483333333334</v>
      </c>
      <c r="Y14" s="399">
        <f t="shared" si="4"/>
        <v>1583.2483333333334</v>
      </c>
      <c r="Z14" s="399">
        <f t="shared" si="4"/>
        <v>1583.2483333333334</v>
      </c>
      <c r="AA14" s="399">
        <f t="shared" si="4"/>
        <v>1583.2483333333334</v>
      </c>
      <c r="AB14" s="399">
        <f t="shared" si="4"/>
        <v>1583.2483333333334</v>
      </c>
      <c r="AC14" s="399">
        <f t="shared" si="4"/>
        <v>1583.2483333333334</v>
      </c>
      <c r="AD14" s="399">
        <f t="shared" si="4"/>
        <v>1583.2483333333334</v>
      </c>
      <c r="AE14" s="399">
        <f t="shared" si="4"/>
        <v>1583.2483333333334</v>
      </c>
      <c r="AF14" s="399">
        <f t="shared" si="4"/>
        <v>1583.2483333333334</v>
      </c>
      <c r="AG14" s="399">
        <f t="shared" si="4"/>
        <v>1583.2483333333334</v>
      </c>
      <c r="AH14" s="399">
        <f t="shared" si="4"/>
        <v>1583.2483333333334</v>
      </c>
      <c r="AI14" s="399">
        <f t="shared" si="4"/>
        <v>1583.2483333333334</v>
      </c>
      <c r="AJ14" s="399">
        <f t="shared" si="4"/>
        <v>1583.2483333333334</v>
      </c>
    </row>
    <row r="15" spans="2:36">
      <c r="B15" s="398" t="str">
        <f>$B$41</f>
        <v xml:space="preserve">Budapešť – Bratislava – Brno – Praha </v>
      </c>
      <c r="C15" s="382">
        <f t="shared" ref="C15:C16" si="5">C32</f>
        <v>0</v>
      </c>
      <c r="D15" s="383">
        <f t="shared" ref="D15:D16" si="6">D41-D32</f>
        <v>0</v>
      </c>
      <c r="G15" s="399">
        <f t="shared" ref="G15:V16" si="7">(G41-G32)*G23</f>
        <v>0</v>
      </c>
      <c r="H15" s="399">
        <f t="shared" si="7"/>
        <v>0</v>
      </c>
      <c r="I15" s="399">
        <f t="shared" si="7"/>
        <v>0</v>
      </c>
      <c r="J15" s="399">
        <f t="shared" si="7"/>
        <v>0</v>
      </c>
      <c r="K15" s="399">
        <f t="shared" si="7"/>
        <v>0</v>
      </c>
      <c r="L15" s="399">
        <f t="shared" si="7"/>
        <v>0</v>
      </c>
      <c r="M15" s="399">
        <f t="shared" si="7"/>
        <v>0</v>
      </c>
      <c r="N15" s="399">
        <f t="shared" si="7"/>
        <v>0</v>
      </c>
      <c r="O15" s="399">
        <f t="shared" si="7"/>
        <v>0</v>
      </c>
      <c r="P15" s="399">
        <f t="shared" si="7"/>
        <v>0</v>
      </c>
      <c r="Q15" s="399">
        <f t="shared" si="7"/>
        <v>0</v>
      </c>
      <c r="R15" s="399">
        <f t="shared" si="7"/>
        <v>0</v>
      </c>
      <c r="S15" s="399">
        <f t="shared" si="7"/>
        <v>0</v>
      </c>
      <c r="T15" s="399">
        <f t="shared" si="7"/>
        <v>0</v>
      </c>
      <c r="U15" s="399">
        <f t="shared" si="7"/>
        <v>0</v>
      </c>
      <c r="V15" s="399">
        <f t="shared" si="7"/>
        <v>0</v>
      </c>
      <c r="W15" s="399">
        <f t="shared" si="4"/>
        <v>0</v>
      </c>
      <c r="X15" s="399">
        <f t="shared" si="4"/>
        <v>0</v>
      </c>
      <c r="Y15" s="399">
        <f t="shared" si="4"/>
        <v>0</v>
      </c>
      <c r="Z15" s="399">
        <f t="shared" si="4"/>
        <v>0</v>
      </c>
      <c r="AA15" s="399">
        <f t="shared" si="4"/>
        <v>0</v>
      </c>
      <c r="AB15" s="399">
        <f t="shared" si="4"/>
        <v>0</v>
      </c>
      <c r="AC15" s="399">
        <f t="shared" si="4"/>
        <v>0</v>
      </c>
      <c r="AD15" s="399">
        <f t="shared" si="4"/>
        <v>0</v>
      </c>
      <c r="AE15" s="399">
        <f t="shared" si="4"/>
        <v>0</v>
      </c>
      <c r="AF15" s="399">
        <f t="shared" si="4"/>
        <v>0</v>
      </c>
      <c r="AG15" s="399">
        <f t="shared" si="4"/>
        <v>0</v>
      </c>
      <c r="AH15" s="399">
        <f t="shared" si="4"/>
        <v>0</v>
      </c>
      <c r="AI15" s="399">
        <f t="shared" si="4"/>
        <v>0</v>
      </c>
      <c r="AJ15" s="399">
        <f t="shared" si="4"/>
        <v>0</v>
      </c>
    </row>
    <row r="16" spans="2:36">
      <c r="B16" s="398" t="str">
        <f>$B$42</f>
        <v xml:space="preserve"> Bratislava – Viedeň – Salzburg – Innsbruck / Zürich / Mníchov / </v>
      </c>
      <c r="C16" s="382">
        <f t="shared" si="5"/>
        <v>0</v>
      </c>
      <c r="D16" s="383">
        <f t="shared" si="6"/>
        <v>0</v>
      </c>
      <c r="G16" s="399">
        <f t="shared" si="7"/>
        <v>0</v>
      </c>
      <c r="H16" s="399">
        <f t="shared" si="4"/>
        <v>0</v>
      </c>
      <c r="I16" s="399">
        <f t="shared" si="4"/>
        <v>0</v>
      </c>
      <c r="J16" s="399">
        <f t="shared" si="4"/>
        <v>0</v>
      </c>
      <c r="K16" s="399">
        <f t="shared" si="4"/>
        <v>0</v>
      </c>
      <c r="L16" s="399">
        <f t="shared" si="4"/>
        <v>0</v>
      </c>
      <c r="M16" s="399">
        <f t="shared" si="4"/>
        <v>0</v>
      </c>
      <c r="N16" s="399">
        <f t="shared" si="4"/>
        <v>0</v>
      </c>
      <c r="O16" s="399">
        <f t="shared" si="4"/>
        <v>0</v>
      </c>
      <c r="P16" s="399">
        <f t="shared" si="4"/>
        <v>0</v>
      </c>
      <c r="Q16" s="399">
        <f t="shared" si="4"/>
        <v>0</v>
      </c>
      <c r="R16" s="399">
        <f t="shared" si="4"/>
        <v>0</v>
      </c>
      <c r="S16" s="399">
        <f t="shared" si="4"/>
        <v>0</v>
      </c>
      <c r="T16" s="399">
        <f t="shared" si="4"/>
        <v>0</v>
      </c>
      <c r="U16" s="399">
        <f t="shared" si="4"/>
        <v>0</v>
      </c>
      <c r="V16" s="399">
        <f t="shared" si="4"/>
        <v>0</v>
      </c>
      <c r="W16" s="399">
        <f t="shared" si="4"/>
        <v>0</v>
      </c>
      <c r="X16" s="399">
        <f t="shared" si="4"/>
        <v>0</v>
      </c>
      <c r="Y16" s="399">
        <f t="shared" si="4"/>
        <v>0</v>
      </c>
      <c r="Z16" s="399">
        <f t="shared" si="4"/>
        <v>0</v>
      </c>
      <c r="AA16" s="399">
        <f t="shared" si="4"/>
        <v>0</v>
      </c>
      <c r="AB16" s="399">
        <f t="shared" si="4"/>
        <v>0</v>
      </c>
      <c r="AC16" s="399">
        <f t="shared" si="4"/>
        <v>0</v>
      </c>
      <c r="AD16" s="399">
        <f t="shared" si="4"/>
        <v>0</v>
      </c>
      <c r="AE16" s="399">
        <f t="shared" si="4"/>
        <v>0</v>
      </c>
      <c r="AF16" s="399">
        <f t="shared" si="4"/>
        <v>0</v>
      </c>
      <c r="AG16" s="399">
        <f t="shared" si="4"/>
        <v>0</v>
      </c>
      <c r="AH16" s="399">
        <f t="shared" si="4"/>
        <v>0</v>
      </c>
      <c r="AI16" s="399">
        <f t="shared" si="4"/>
        <v>0</v>
      </c>
      <c r="AJ16" s="399">
        <f t="shared" si="4"/>
        <v>0</v>
      </c>
    </row>
    <row r="18" spans="2:36" ht="36" customHeight="1"/>
    <row r="20" spans="2:36">
      <c r="B20" s="370" t="s">
        <v>463</v>
      </c>
    </row>
    <row r="22" spans="2:36">
      <c r="B22" s="946" t="str">
        <f>$B$40</f>
        <v xml:space="preserve">Košice – Poprad – Žilina – Trenčín – Trnava – Bratislava </v>
      </c>
      <c r="C22" s="946"/>
      <c r="D22" s="946"/>
      <c r="G22" s="841">
        <v>0</v>
      </c>
      <c r="H22" s="841">
        <v>0</v>
      </c>
      <c r="I22" s="841">
        <v>0</v>
      </c>
      <c r="J22" s="841">
        <v>0</v>
      </c>
      <c r="K22" s="842">
        <v>0.5</v>
      </c>
      <c r="L22" s="845">
        <v>1</v>
      </c>
      <c r="M22" s="845">
        <v>1</v>
      </c>
      <c r="N22" s="845">
        <v>1</v>
      </c>
      <c r="O22" s="845">
        <v>1</v>
      </c>
      <c r="P22" s="845">
        <v>1</v>
      </c>
      <c r="Q22" s="845">
        <v>1</v>
      </c>
      <c r="R22" s="845">
        <v>1</v>
      </c>
      <c r="S22" s="845">
        <v>1</v>
      </c>
      <c r="T22" s="845">
        <v>1</v>
      </c>
      <c r="U22" s="845">
        <v>1</v>
      </c>
      <c r="V22" s="845">
        <v>1</v>
      </c>
      <c r="W22" s="845">
        <v>1</v>
      </c>
      <c r="X22" s="845">
        <v>1</v>
      </c>
      <c r="Y22" s="845">
        <v>1</v>
      </c>
      <c r="Z22" s="845">
        <v>1</v>
      </c>
      <c r="AA22" s="845">
        <v>1</v>
      </c>
      <c r="AB22" s="845">
        <v>1</v>
      </c>
      <c r="AC22" s="845">
        <v>1</v>
      </c>
      <c r="AD22" s="845">
        <v>1</v>
      </c>
      <c r="AE22" s="845">
        <v>1</v>
      </c>
      <c r="AF22" s="845">
        <v>1</v>
      </c>
      <c r="AG22" s="845">
        <v>1</v>
      </c>
      <c r="AH22" s="845">
        <v>1</v>
      </c>
      <c r="AI22" s="845">
        <v>1</v>
      </c>
      <c r="AJ22" s="845">
        <v>1</v>
      </c>
    </row>
    <row r="23" spans="2:36">
      <c r="B23" s="946" t="str">
        <f>$B$41</f>
        <v xml:space="preserve">Budapešť – Bratislava – Brno – Praha </v>
      </c>
      <c r="C23" s="946"/>
      <c r="D23" s="946"/>
      <c r="G23" s="841">
        <v>0</v>
      </c>
      <c r="H23" s="841">
        <v>0</v>
      </c>
      <c r="I23" s="841">
        <v>0</v>
      </c>
      <c r="J23" s="841">
        <v>0</v>
      </c>
      <c r="K23" s="842">
        <v>0.5</v>
      </c>
      <c r="L23" s="845">
        <v>1</v>
      </c>
      <c r="M23" s="845">
        <v>1</v>
      </c>
      <c r="N23" s="845">
        <v>1</v>
      </c>
      <c r="O23" s="845">
        <v>1</v>
      </c>
      <c r="P23" s="845">
        <v>1</v>
      </c>
      <c r="Q23" s="845">
        <v>1</v>
      </c>
      <c r="R23" s="845">
        <v>1</v>
      </c>
      <c r="S23" s="845">
        <v>1</v>
      </c>
      <c r="T23" s="845">
        <v>1</v>
      </c>
      <c r="U23" s="845">
        <v>1</v>
      </c>
      <c r="V23" s="845">
        <v>1</v>
      </c>
      <c r="W23" s="845">
        <v>1</v>
      </c>
      <c r="X23" s="845">
        <v>1</v>
      </c>
      <c r="Y23" s="845">
        <v>1</v>
      </c>
      <c r="Z23" s="845">
        <v>1</v>
      </c>
      <c r="AA23" s="845">
        <v>1</v>
      </c>
      <c r="AB23" s="845">
        <v>1</v>
      </c>
      <c r="AC23" s="845">
        <v>1</v>
      </c>
      <c r="AD23" s="845">
        <v>1</v>
      </c>
      <c r="AE23" s="845">
        <v>1</v>
      </c>
      <c r="AF23" s="845">
        <v>1</v>
      </c>
      <c r="AG23" s="845">
        <v>1</v>
      </c>
      <c r="AH23" s="845">
        <v>1</v>
      </c>
      <c r="AI23" s="845">
        <v>1</v>
      </c>
      <c r="AJ23" s="845">
        <v>1</v>
      </c>
    </row>
    <row r="24" spans="2:36">
      <c r="B24" s="946" t="str">
        <f>$B$42</f>
        <v xml:space="preserve"> Bratislava – Viedeň – Salzburg – Innsbruck / Zürich / Mníchov / </v>
      </c>
      <c r="C24" s="946"/>
      <c r="D24" s="946"/>
      <c r="G24" s="841">
        <v>0</v>
      </c>
      <c r="H24" s="841">
        <v>0</v>
      </c>
      <c r="I24" s="841">
        <v>0</v>
      </c>
      <c r="J24" s="841">
        <v>0</v>
      </c>
      <c r="K24" s="842">
        <v>0.5</v>
      </c>
      <c r="L24" s="845">
        <v>1</v>
      </c>
      <c r="M24" s="845">
        <v>1</v>
      </c>
      <c r="N24" s="845">
        <v>1</v>
      </c>
      <c r="O24" s="845">
        <v>1</v>
      </c>
      <c r="P24" s="845">
        <v>1</v>
      </c>
      <c r="Q24" s="845">
        <v>1</v>
      </c>
      <c r="R24" s="845">
        <v>1</v>
      </c>
      <c r="S24" s="845">
        <v>1</v>
      </c>
      <c r="T24" s="845">
        <v>1</v>
      </c>
      <c r="U24" s="845">
        <v>1</v>
      </c>
      <c r="V24" s="845">
        <v>1</v>
      </c>
      <c r="W24" s="845">
        <v>1</v>
      </c>
      <c r="X24" s="845">
        <v>1</v>
      </c>
      <c r="Y24" s="845">
        <v>1</v>
      </c>
      <c r="Z24" s="845">
        <v>1</v>
      </c>
      <c r="AA24" s="845">
        <v>1</v>
      </c>
      <c r="AB24" s="845">
        <v>1</v>
      </c>
      <c r="AC24" s="845">
        <v>1</v>
      </c>
      <c r="AD24" s="845">
        <v>1</v>
      </c>
      <c r="AE24" s="845">
        <v>1</v>
      </c>
      <c r="AF24" s="845">
        <v>1</v>
      </c>
      <c r="AG24" s="845">
        <v>1</v>
      </c>
      <c r="AH24" s="845">
        <v>1</v>
      </c>
      <c r="AI24" s="845">
        <v>1</v>
      </c>
      <c r="AJ24" s="845">
        <v>1</v>
      </c>
    </row>
    <row r="26" spans="2:36" ht="35.1" customHeight="1"/>
    <row r="28" spans="2:36">
      <c r="C28" s="397" t="s">
        <v>474</v>
      </c>
      <c r="D28" s="400" t="s">
        <v>500</v>
      </c>
    </row>
    <row r="29" spans="2:36">
      <c r="B29" s="370" t="s">
        <v>515</v>
      </c>
    </row>
    <row r="31" spans="2:36">
      <c r="B31" s="398" t="str">
        <f>$B$40</f>
        <v xml:space="preserve">Košice – Poprad – Žilina – Trenčín – Trnava – Bratislava </v>
      </c>
      <c r="C31" s="382">
        <f>F65</f>
        <v>9490</v>
      </c>
      <c r="D31" s="383">
        <f>E49</f>
        <v>0.16650000000000001</v>
      </c>
      <c r="G31" s="401">
        <f>G40</f>
        <v>3163.3333333333335</v>
      </c>
      <c r="H31" s="401">
        <f t="shared" ref="H31:J31" si="8">H40</f>
        <v>3163.3333333333335</v>
      </c>
      <c r="I31" s="401">
        <f t="shared" si="8"/>
        <v>3163.3333333333335</v>
      </c>
      <c r="J31" s="401">
        <f t="shared" si="8"/>
        <v>3163.3333333333335</v>
      </c>
      <c r="K31" s="401">
        <f t="shared" ref="K31:AJ31" si="9">$C$31*$D$31</f>
        <v>1580.085</v>
      </c>
      <c r="L31" s="401">
        <f t="shared" si="9"/>
        <v>1580.085</v>
      </c>
      <c r="M31" s="401">
        <f t="shared" si="9"/>
        <v>1580.085</v>
      </c>
      <c r="N31" s="401">
        <f t="shared" si="9"/>
        <v>1580.085</v>
      </c>
      <c r="O31" s="401">
        <f t="shared" si="9"/>
        <v>1580.085</v>
      </c>
      <c r="P31" s="401">
        <f t="shared" si="9"/>
        <v>1580.085</v>
      </c>
      <c r="Q31" s="401">
        <f t="shared" si="9"/>
        <v>1580.085</v>
      </c>
      <c r="R31" s="401">
        <f t="shared" si="9"/>
        <v>1580.085</v>
      </c>
      <c r="S31" s="401">
        <f t="shared" si="9"/>
        <v>1580.085</v>
      </c>
      <c r="T31" s="401">
        <f t="shared" si="9"/>
        <v>1580.085</v>
      </c>
      <c r="U31" s="401">
        <f t="shared" si="9"/>
        <v>1580.085</v>
      </c>
      <c r="V31" s="401">
        <f t="shared" si="9"/>
        <v>1580.085</v>
      </c>
      <c r="W31" s="401">
        <f t="shared" si="9"/>
        <v>1580.085</v>
      </c>
      <c r="X31" s="401">
        <f t="shared" si="9"/>
        <v>1580.085</v>
      </c>
      <c r="Y31" s="401">
        <f t="shared" si="9"/>
        <v>1580.085</v>
      </c>
      <c r="Z31" s="401">
        <f t="shared" si="9"/>
        <v>1580.085</v>
      </c>
      <c r="AA31" s="401">
        <f t="shared" si="9"/>
        <v>1580.085</v>
      </c>
      <c r="AB31" s="401">
        <f t="shared" si="9"/>
        <v>1580.085</v>
      </c>
      <c r="AC31" s="401">
        <f t="shared" si="9"/>
        <v>1580.085</v>
      </c>
      <c r="AD31" s="401">
        <f t="shared" si="9"/>
        <v>1580.085</v>
      </c>
      <c r="AE31" s="401">
        <f t="shared" si="9"/>
        <v>1580.085</v>
      </c>
      <c r="AF31" s="401">
        <f t="shared" si="9"/>
        <v>1580.085</v>
      </c>
      <c r="AG31" s="401">
        <f t="shared" si="9"/>
        <v>1580.085</v>
      </c>
      <c r="AH31" s="401">
        <f t="shared" si="9"/>
        <v>1580.085</v>
      </c>
      <c r="AI31" s="401">
        <f t="shared" si="9"/>
        <v>1580.085</v>
      </c>
      <c r="AJ31" s="401">
        <f t="shared" si="9"/>
        <v>1580.085</v>
      </c>
    </row>
    <row r="32" spans="2:36">
      <c r="B32" s="398" t="str">
        <f>$B$41</f>
        <v xml:space="preserve">Budapešť – Bratislava – Brno – Praha </v>
      </c>
      <c r="C32" s="382">
        <f t="shared" ref="C32" si="10">F66</f>
        <v>0</v>
      </c>
      <c r="D32" s="383">
        <v>0</v>
      </c>
      <c r="G32" s="401">
        <f t="shared" ref="G32:J33" si="11">G41</f>
        <v>0</v>
      </c>
      <c r="H32" s="401">
        <f t="shared" si="11"/>
        <v>0</v>
      </c>
      <c r="I32" s="401">
        <f t="shared" si="11"/>
        <v>0</v>
      </c>
      <c r="J32" s="401">
        <f t="shared" si="11"/>
        <v>0</v>
      </c>
      <c r="K32" s="401">
        <f t="shared" ref="K32:AJ32" si="12">$C$32*$D$32</f>
        <v>0</v>
      </c>
      <c r="L32" s="401">
        <f t="shared" si="12"/>
        <v>0</v>
      </c>
      <c r="M32" s="401">
        <f t="shared" si="12"/>
        <v>0</v>
      </c>
      <c r="N32" s="401">
        <f t="shared" si="12"/>
        <v>0</v>
      </c>
      <c r="O32" s="401">
        <f t="shared" si="12"/>
        <v>0</v>
      </c>
      <c r="P32" s="401">
        <f t="shared" si="12"/>
        <v>0</v>
      </c>
      <c r="Q32" s="401">
        <f t="shared" si="12"/>
        <v>0</v>
      </c>
      <c r="R32" s="401">
        <f t="shared" si="12"/>
        <v>0</v>
      </c>
      <c r="S32" s="401">
        <f t="shared" si="12"/>
        <v>0</v>
      </c>
      <c r="T32" s="401">
        <f t="shared" si="12"/>
        <v>0</v>
      </c>
      <c r="U32" s="401">
        <f t="shared" si="12"/>
        <v>0</v>
      </c>
      <c r="V32" s="401">
        <f t="shared" si="12"/>
        <v>0</v>
      </c>
      <c r="W32" s="401">
        <f t="shared" si="12"/>
        <v>0</v>
      </c>
      <c r="X32" s="401">
        <f t="shared" si="12"/>
        <v>0</v>
      </c>
      <c r="Y32" s="401">
        <f t="shared" si="12"/>
        <v>0</v>
      </c>
      <c r="Z32" s="401">
        <f t="shared" si="12"/>
        <v>0</v>
      </c>
      <c r="AA32" s="401">
        <f t="shared" si="12"/>
        <v>0</v>
      </c>
      <c r="AB32" s="401">
        <f t="shared" si="12"/>
        <v>0</v>
      </c>
      <c r="AC32" s="401">
        <f t="shared" si="12"/>
        <v>0</v>
      </c>
      <c r="AD32" s="401">
        <f t="shared" si="12"/>
        <v>0</v>
      </c>
      <c r="AE32" s="401">
        <f t="shared" si="12"/>
        <v>0</v>
      </c>
      <c r="AF32" s="401">
        <f t="shared" si="12"/>
        <v>0</v>
      </c>
      <c r="AG32" s="401">
        <f t="shared" si="12"/>
        <v>0</v>
      </c>
      <c r="AH32" s="401">
        <f t="shared" si="12"/>
        <v>0</v>
      </c>
      <c r="AI32" s="401">
        <f t="shared" si="12"/>
        <v>0</v>
      </c>
      <c r="AJ32" s="401">
        <f t="shared" si="12"/>
        <v>0</v>
      </c>
    </row>
    <row r="33" spans="2:36">
      <c r="B33" s="398" t="str">
        <f>$B$42</f>
        <v xml:space="preserve"> Bratislava – Viedeň – Salzburg – Innsbruck / Zürich / Mníchov / </v>
      </c>
      <c r="C33" s="382">
        <f>F67</f>
        <v>0</v>
      </c>
      <c r="D33" s="383">
        <v>0</v>
      </c>
      <c r="G33" s="401">
        <f t="shared" si="11"/>
        <v>0</v>
      </c>
      <c r="H33" s="401">
        <f t="shared" si="11"/>
        <v>0</v>
      </c>
      <c r="I33" s="401">
        <f t="shared" si="11"/>
        <v>0</v>
      </c>
      <c r="J33" s="401">
        <f t="shared" si="11"/>
        <v>0</v>
      </c>
      <c r="K33" s="401">
        <f t="shared" ref="K33:AJ33" si="13">$C$33*$D$33</f>
        <v>0</v>
      </c>
      <c r="L33" s="401">
        <f t="shared" si="13"/>
        <v>0</v>
      </c>
      <c r="M33" s="401">
        <f t="shared" si="13"/>
        <v>0</v>
      </c>
      <c r="N33" s="401">
        <f t="shared" si="13"/>
        <v>0</v>
      </c>
      <c r="O33" s="401">
        <f t="shared" si="13"/>
        <v>0</v>
      </c>
      <c r="P33" s="401">
        <f t="shared" si="13"/>
        <v>0</v>
      </c>
      <c r="Q33" s="401">
        <f t="shared" si="13"/>
        <v>0</v>
      </c>
      <c r="R33" s="401">
        <f t="shared" si="13"/>
        <v>0</v>
      </c>
      <c r="S33" s="401">
        <f t="shared" si="13"/>
        <v>0</v>
      </c>
      <c r="T33" s="401">
        <f t="shared" si="13"/>
        <v>0</v>
      </c>
      <c r="U33" s="401">
        <f t="shared" si="13"/>
        <v>0</v>
      </c>
      <c r="V33" s="401">
        <f t="shared" si="13"/>
        <v>0</v>
      </c>
      <c r="W33" s="401">
        <f t="shared" si="13"/>
        <v>0</v>
      </c>
      <c r="X33" s="401">
        <f t="shared" si="13"/>
        <v>0</v>
      </c>
      <c r="Y33" s="401">
        <f t="shared" si="13"/>
        <v>0</v>
      </c>
      <c r="Z33" s="401">
        <f t="shared" si="13"/>
        <v>0</v>
      </c>
      <c r="AA33" s="401">
        <f t="shared" si="13"/>
        <v>0</v>
      </c>
      <c r="AB33" s="401">
        <f t="shared" si="13"/>
        <v>0</v>
      </c>
      <c r="AC33" s="401">
        <f t="shared" si="13"/>
        <v>0</v>
      </c>
      <c r="AD33" s="401">
        <f t="shared" si="13"/>
        <v>0</v>
      </c>
      <c r="AE33" s="401">
        <f t="shared" si="13"/>
        <v>0</v>
      </c>
      <c r="AF33" s="401">
        <f t="shared" si="13"/>
        <v>0</v>
      </c>
      <c r="AG33" s="401">
        <f t="shared" si="13"/>
        <v>0</v>
      </c>
      <c r="AH33" s="401">
        <f t="shared" si="13"/>
        <v>0</v>
      </c>
      <c r="AI33" s="401">
        <f t="shared" si="13"/>
        <v>0</v>
      </c>
      <c r="AJ33" s="401">
        <f t="shared" si="13"/>
        <v>0</v>
      </c>
    </row>
    <row r="34" spans="2:36">
      <c r="G34" s="402"/>
      <c r="H34" s="402"/>
      <c r="I34" s="402"/>
      <c r="J34" s="402"/>
      <c r="K34" s="402"/>
      <c r="L34" s="402"/>
      <c r="M34" s="402"/>
      <c r="N34" s="402"/>
      <c r="O34" s="402"/>
      <c r="P34" s="402"/>
      <c r="Q34" s="402"/>
      <c r="R34" s="402"/>
      <c r="S34" s="402"/>
      <c r="T34" s="402"/>
      <c r="U34" s="402"/>
      <c r="V34" s="402"/>
      <c r="W34" s="402"/>
      <c r="X34" s="402"/>
      <c r="Y34" s="402"/>
      <c r="Z34" s="402"/>
      <c r="AA34" s="402"/>
      <c r="AB34" s="402"/>
      <c r="AC34" s="402"/>
      <c r="AD34" s="402"/>
      <c r="AE34" s="402"/>
      <c r="AF34" s="402"/>
      <c r="AG34" s="402"/>
      <c r="AH34" s="402"/>
      <c r="AI34" s="402"/>
      <c r="AJ34" s="402"/>
    </row>
    <row r="35" spans="2:36" ht="33" customHeight="1">
      <c r="G35" s="402"/>
      <c r="H35" s="402"/>
      <c r="I35" s="402"/>
      <c r="J35" s="402"/>
      <c r="K35" s="402"/>
      <c r="L35" s="402"/>
      <c r="M35" s="402"/>
      <c r="N35" s="402"/>
      <c r="O35" s="402"/>
      <c r="P35" s="402"/>
      <c r="Q35" s="402"/>
      <c r="R35" s="402"/>
      <c r="S35" s="402"/>
      <c r="T35" s="402"/>
      <c r="U35" s="402"/>
      <c r="V35" s="402"/>
      <c r="W35" s="402"/>
      <c r="X35" s="402"/>
      <c r="Y35" s="402"/>
      <c r="Z35" s="402"/>
      <c r="AA35" s="402"/>
      <c r="AB35" s="402"/>
      <c r="AC35" s="402"/>
      <c r="AD35" s="402"/>
      <c r="AE35" s="402"/>
      <c r="AF35" s="402"/>
      <c r="AG35" s="402"/>
      <c r="AH35" s="402"/>
      <c r="AI35" s="402"/>
      <c r="AJ35" s="402"/>
    </row>
    <row r="36" spans="2:36">
      <c r="G36" s="402"/>
      <c r="H36" s="402"/>
      <c r="I36" s="402"/>
      <c r="J36" s="402"/>
      <c r="K36" s="402"/>
      <c r="L36" s="402"/>
      <c r="M36" s="402"/>
      <c r="N36" s="402"/>
      <c r="O36" s="402"/>
      <c r="P36" s="402"/>
      <c r="Q36" s="402"/>
      <c r="R36" s="402"/>
      <c r="S36" s="402"/>
      <c r="T36" s="402"/>
      <c r="U36" s="402"/>
      <c r="V36" s="402"/>
      <c r="W36" s="402"/>
      <c r="X36" s="402"/>
      <c r="Y36" s="402"/>
      <c r="Z36" s="402"/>
      <c r="AA36" s="402"/>
      <c r="AB36" s="402"/>
      <c r="AC36" s="402"/>
      <c r="AD36" s="402"/>
      <c r="AE36" s="402"/>
      <c r="AF36" s="402"/>
      <c r="AG36" s="402"/>
      <c r="AH36" s="402"/>
      <c r="AI36" s="402"/>
      <c r="AJ36" s="402"/>
    </row>
    <row r="37" spans="2:36">
      <c r="C37" s="397" t="s">
        <v>474</v>
      </c>
      <c r="D37" s="400" t="s">
        <v>499</v>
      </c>
      <c r="G37" s="402"/>
      <c r="H37" s="402"/>
      <c r="I37" s="402"/>
      <c r="J37" s="402"/>
      <c r="K37" s="402"/>
      <c r="L37" s="402"/>
      <c r="M37" s="402"/>
      <c r="N37" s="402"/>
      <c r="O37" s="402"/>
      <c r="P37" s="402"/>
      <c r="Q37" s="402"/>
      <c r="R37" s="402"/>
      <c r="S37" s="402"/>
      <c r="T37" s="402"/>
      <c r="U37" s="402"/>
      <c r="V37" s="402"/>
      <c r="W37" s="402"/>
      <c r="X37" s="402"/>
      <c r="Y37" s="402"/>
      <c r="Z37" s="402"/>
      <c r="AA37" s="402"/>
      <c r="AB37" s="402"/>
      <c r="AC37" s="402"/>
      <c r="AD37" s="402"/>
      <c r="AE37" s="402"/>
      <c r="AF37" s="402"/>
      <c r="AG37" s="402"/>
      <c r="AH37" s="402"/>
      <c r="AI37" s="402"/>
      <c r="AJ37" s="402"/>
    </row>
    <row r="38" spans="2:36">
      <c r="B38" s="370" t="s">
        <v>516</v>
      </c>
      <c r="C38" s="399"/>
      <c r="D38" s="403"/>
      <c r="G38" s="402"/>
      <c r="H38" s="402"/>
      <c r="I38" s="402"/>
      <c r="J38" s="402"/>
      <c r="K38" s="402"/>
      <c r="L38" s="402"/>
      <c r="M38" s="402"/>
      <c r="N38" s="402"/>
      <c r="O38" s="402"/>
      <c r="P38" s="402"/>
      <c r="Q38" s="402"/>
      <c r="R38" s="402"/>
      <c r="S38" s="402"/>
      <c r="T38" s="402"/>
      <c r="U38" s="402"/>
      <c r="V38" s="402"/>
      <c r="W38" s="402"/>
      <c r="X38" s="402"/>
      <c r="Y38" s="402"/>
      <c r="Z38" s="402"/>
      <c r="AA38" s="402"/>
      <c r="AB38" s="402"/>
      <c r="AC38" s="402"/>
      <c r="AD38" s="402"/>
      <c r="AE38" s="402"/>
      <c r="AF38" s="402"/>
      <c r="AG38" s="402"/>
      <c r="AH38" s="402"/>
      <c r="AI38" s="402"/>
      <c r="AJ38" s="402"/>
    </row>
    <row r="39" spans="2:36">
      <c r="G39" s="402"/>
      <c r="H39" s="402"/>
      <c r="I39" s="402"/>
      <c r="J39" s="402"/>
      <c r="K39" s="402"/>
      <c r="L39" s="402"/>
      <c r="M39" s="402"/>
      <c r="N39" s="402"/>
      <c r="O39" s="402"/>
      <c r="P39" s="402"/>
      <c r="Q39" s="402"/>
      <c r="R39" s="402"/>
      <c r="S39" s="402"/>
      <c r="T39" s="402"/>
      <c r="U39" s="402"/>
      <c r="V39" s="402"/>
      <c r="W39" s="402"/>
      <c r="X39" s="402"/>
      <c r="Y39" s="402"/>
      <c r="Z39" s="402"/>
      <c r="AA39" s="402"/>
      <c r="AB39" s="402"/>
      <c r="AC39" s="402"/>
      <c r="AD39" s="402"/>
      <c r="AE39" s="402"/>
      <c r="AF39" s="402"/>
      <c r="AG39" s="402"/>
      <c r="AH39" s="402"/>
      <c r="AI39" s="402"/>
      <c r="AJ39" s="402"/>
    </row>
    <row r="40" spans="2:36">
      <c r="B40" s="398" t="s">
        <v>475</v>
      </c>
      <c r="C40" s="382">
        <f>F60</f>
        <v>9490</v>
      </c>
      <c r="D40" s="383">
        <f>E48</f>
        <v>0.33333333333333337</v>
      </c>
      <c r="G40" s="401">
        <f>$C$40*$D$40</f>
        <v>3163.3333333333335</v>
      </c>
      <c r="H40" s="401">
        <f t="shared" ref="H40:AJ40" si="14">$C$40*$D$40</f>
        <v>3163.3333333333335</v>
      </c>
      <c r="I40" s="401">
        <f t="shared" si="14"/>
        <v>3163.3333333333335</v>
      </c>
      <c r="J40" s="401">
        <f t="shared" si="14"/>
        <v>3163.3333333333335</v>
      </c>
      <c r="K40" s="401">
        <f t="shared" si="14"/>
        <v>3163.3333333333335</v>
      </c>
      <c r="L40" s="401">
        <f t="shared" si="14"/>
        <v>3163.3333333333335</v>
      </c>
      <c r="M40" s="401">
        <f t="shared" si="14"/>
        <v>3163.3333333333335</v>
      </c>
      <c r="N40" s="401">
        <f t="shared" si="14"/>
        <v>3163.3333333333335</v>
      </c>
      <c r="O40" s="401">
        <f t="shared" si="14"/>
        <v>3163.3333333333335</v>
      </c>
      <c r="P40" s="401">
        <f t="shared" si="14"/>
        <v>3163.3333333333335</v>
      </c>
      <c r="Q40" s="401">
        <f t="shared" si="14"/>
        <v>3163.3333333333335</v>
      </c>
      <c r="R40" s="401">
        <f t="shared" si="14"/>
        <v>3163.3333333333335</v>
      </c>
      <c r="S40" s="401">
        <f t="shared" si="14"/>
        <v>3163.3333333333335</v>
      </c>
      <c r="T40" s="401">
        <f t="shared" si="14"/>
        <v>3163.3333333333335</v>
      </c>
      <c r="U40" s="401">
        <f t="shared" si="14"/>
        <v>3163.3333333333335</v>
      </c>
      <c r="V40" s="401">
        <f t="shared" si="14"/>
        <v>3163.3333333333335</v>
      </c>
      <c r="W40" s="401">
        <f t="shared" si="14"/>
        <v>3163.3333333333335</v>
      </c>
      <c r="X40" s="401">
        <f t="shared" si="14"/>
        <v>3163.3333333333335</v>
      </c>
      <c r="Y40" s="401">
        <f t="shared" si="14"/>
        <v>3163.3333333333335</v>
      </c>
      <c r="Z40" s="401">
        <f t="shared" si="14"/>
        <v>3163.3333333333335</v>
      </c>
      <c r="AA40" s="401">
        <f t="shared" si="14"/>
        <v>3163.3333333333335</v>
      </c>
      <c r="AB40" s="401">
        <f t="shared" si="14"/>
        <v>3163.3333333333335</v>
      </c>
      <c r="AC40" s="401">
        <f t="shared" si="14"/>
        <v>3163.3333333333335</v>
      </c>
      <c r="AD40" s="401">
        <f t="shared" si="14"/>
        <v>3163.3333333333335</v>
      </c>
      <c r="AE40" s="401">
        <f t="shared" si="14"/>
        <v>3163.3333333333335</v>
      </c>
      <c r="AF40" s="401">
        <f t="shared" si="14"/>
        <v>3163.3333333333335</v>
      </c>
      <c r="AG40" s="401">
        <f t="shared" si="14"/>
        <v>3163.3333333333335</v>
      </c>
      <c r="AH40" s="401">
        <f t="shared" si="14"/>
        <v>3163.3333333333335</v>
      </c>
      <c r="AI40" s="401">
        <f t="shared" si="14"/>
        <v>3163.3333333333335</v>
      </c>
      <c r="AJ40" s="401">
        <f t="shared" si="14"/>
        <v>3163.3333333333335</v>
      </c>
    </row>
    <row r="41" spans="2:36">
      <c r="B41" s="404" t="s">
        <v>476</v>
      </c>
      <c r="C41" s="382">
        <f>F61</f>
        <v>0</v>
      </c>
      <c r="D41" s="383">
        <v>0</v>
      </c>
      <c r="G41" s="401">
        <f>$C$41*$D$41</f>
        <v>0</v>
      </c>
      <c r="H41" s="401">
        <f t="shared" ref="H41:AJ41" si="15">$C$41*$D$41</f>
        <v>0</v>
      </c>
      <c r="I41" s="401">
        <f t="shared" si="15"/>
        <v>0</v>
      </c>
      <c r="J41" s="401">
        <f t="shared" si="15"/>
        <v>0</v>
      </c>
      <c r="K41" s="401">
        <f t="shared" si="15"/>
        <v>0</v>
      </c>
      <c r="L41" s="401">
        <f t="shared" si="15"/>
        <v>0</v>
      </c>
      <c r="M41" s="401">
        <f t="shared" si="15"/>
        <v>0</v>
      </c>
      <c r="N41" s="401">
        <f t="shared" si="15"/>
        <v>0</v>
      </c>
      <c r="O41" s="401">
        <f t="shared" si="15"/>
        <v>0</v>
      </c>
      <c r="P41" s="401">
        <f t="shared" si="15"/>
        <v>0</v>
      </c>
      <c r="Q41" s="401">
        <f t="shared" si="15"/>
        <v>0</v>
      </c>
      <c r="R41" s="401">
        <f t="shared" si="15"/>
        <v>0</v>
      </c>
      <c r="S41" s="401">
        <f t="shared" si="15"/>
        <v>0</v>
      </c>
      <c r="T41" s="401">
        <f t="shared" si="15"/>
        <v>0</v>
      </c>
      <c r="U41" s="401">
        <f t="shared" si="15"/>
        <v>0</v>
      </c>
      <c r="V41" s="401">
        <f t="shared" si="15"/>
        <v>0</v>
      </c>
      <c r="W41" s="401">
        <f t="shared" si="15"/>
        <v>0</v>
      </c>
      <c r="X41" s="401">
        <f t="shared" si="15"/>
        <v>0</v>
      </c>
      <c r="Y41" s="401">
        <f t="shared" si="15"/>
        <v>0</v>
      </c>
      <c r="Z41" s="401">
        <f t="shared" si="15"/>
        <v>0</v>
      </c>
      <c r="AA41" s="401">
        <f t="shared" si="15"/>
        <v>0</v>
      </c>
      <c r="AB41" s="401">
        <f t="shared" si="15"/>
        <v>0</v>
      </c>
      <c r="AC41" s="401">
        <f t="shared" si="15"/>
        <v>0</v>
      </c>
      <c r="AD41" s="401">
        <f t="shared" si="15"/>
        <v>0</v>
      </c>
      <c r="AE41" s="401">
        <f t="shared" si="15"/>
        <v>0</v>
      </c>
      <c r="AF41" s="401">
        <f t="shared" si="15"/>
        <v>0</v>
      </c>
      <c r="AG41" s="401">
        <f t="shared" si="15"/>
        <v>0</v>
      </c>
      <c r="AH41" s="401">
        <f t="shared" si="15"/>
        <v>0</v>
      </c>
      <c r="AI41" s="401">
        <f t="shared" si="15"/>
        <v>0</v>
      </c>
      <c r="AJ41" s="401">
        <f t="shared" si="15"/>
        <v>0</v>
      </c>
    </row>
    <row r="42" spans="2:36">
      <c r="B42" s="405" t="s">
        <v>477</v>
      </c>
      <c r="C42" s="382">
        <f>F62</f>
        <v>0</v>
      </c>
      <c r="D42" s="383">
        <v>0</v>
      </c>
      <c r="G42" s="401">
        <f>$C$42*$D$42</f>
        <v>0</v>
      </c>
      <c r="H42" s="401">
        <f t="shared" ref="H42:AJ42" si="16">$C$42*$D$42</f>
        <v>0</v>
      </c>
      <c r="I42" s="401">
        <f t="shared" si="16"/>
        <v>0</v>
      </c>
      <c r="J42" s="401">
        <f t="shared" si="16"/>
        <v>0</v>
      </c>
      <c r="K42" s="401">
        <f t="shared" si="16"/>
        <v>0</v>
      </c>
      <c r="L42" s="401">
        <f t="shared" si="16"/>
        <v>0</v>
      </c>
      <c r="M42" s="401">
        <f t="shared" si="16"/>
        <v>0</v>
      </c>
      <c r="N42" s="401">
        <f t="shared" si="16"/>
        <v>0</v>
      </c>
      <c r="O42" s="401">
        <f t="shared" si="16"/>
        <v>0</v>
      </c>
      <c r="P42" s="401">
        <f t="shared" si="16"/>
        <v>0</v>
      </c>
      <c r="Q42" s="401">
        <f t="shared" si="16"/>
        <v>0</v>
      </c>
      <c r="R42" s="401">
        <f t="shared" si="16"/>
        <v>0</v>
      </c>
      <c r="S42" s="401">
        <f t="shared" si="16"/>
        <v>0</v>
      </c>
      <c r="T42" s="401">
        <f t="shared" si="16"/>
        <v>0</v>
      </c>
      <c r="U42" s="401">
        <f t="shared" si="16"/>
        <v>0</v>
      </c>
      <c r="V42" s="401">
        <f t="shared" si="16"/>
        <v>0</v>
      </c>
      <c r="W42" s="401">
        <f t="shared" si="16"/>
        <v>0</v>
      </c>
      <c r="X42" s="401">
        <f t="shared" si="16"/>
        <v>0</v>
      </c>
      <c r="Y42" s="401">
        <f t="shared" si="16"/>
        <v>0</v>
      </c>
      <c r="Z42" s="401">
        <f t="shared" si="16"/>
        <v>0</v>
      </c>
      <c r="AA42" s="401">
        <f t="shared" si="16"/>
        <v>0</v>
      </c>
      <c r="AB42" s="401">
        <f t="shared" si="16"/>
        <v>0</v>
      </c>
      <c r="AC42" s="401">
        <f t="shared" si="16"/>
        <v>0</v>
      </c>
      <c r="AD42" s="401">
        <f t="shared" si="16"/>
        <v>0</v>
      </c>
      <c r="AE42" s="401">
        <f t="shared" si="16"/>
        <v>0</v>
      </c>
      <c r="AF42" s="401">
        <f t="shared" si="16"/>
        <v>0</v>
      </c>
      <c r="AG42" s="401">
        <f t="shared" si="16"/>
        <v>0</v>
      </c>
      <c r="AH42" s="401">
        <f t="shared" si="16"/>
        <v>0</v>
      </c>
      <c r="AI42" s="401">
        <f t="shared" si="16"/>
        <v>0</v>
      </c>
      <c r="AJ42" s="401">
        <f t="shared" si="16"/>
        <v>0</v>
      </c>
    </row>
    <row r="47" spans="2:36">
      <c r="B47" s="406" t="s">
        <v>495</v>
      </c>
      <c r="C47" s="407" t="s">
        <v>496</v>
      </c>
      <c r="D47" s="407" t="s">
        <v>497</v>
      </c>
      <c r="E47" s="407" t="s">
        <v>498</v>
      </c>
    </row>
    <row r="48" spans="2:36">
      <c r="B48" s="408" t="s">
        <v>499</v>
      </c>
      <c r="C48" s="409">
        <v>0.25</v>
      </c>
      <c r="D48" s="410">
        <v>0.41666666666666669</v>
      </c>
      <c r="E48" s="410">
        <f>AVERAGE(C48:D48)</f>
        <v>0.33333333333333337</v>
      </c>
    </row>
    <row r="49" spans="2:6">
      <c r="B49" s="408" t="s">
        <v>500</v>
      </c>
      <c r="C49" s="409">
        <v>8.3000000000000004E-2</v>
      </c>
      <c r="D49" s="410">
        <v>0.25</v>
      </c>
      <c r="E49" s="410">
        <f>AVERAGE(C49:D49)</f>
        <v>0.16650000000000001</v>
      </c>
    </row>
    <row r="50" spans="2:6" ht="18.75">
      <c r="B50" s="947" t="s">
        <v>473</v>
      </c>
      <c r="C50" s="947"/>
      <c r="D50" s="947"/>
      <c r="E50" s="420">
        <f>E48-E49</f>
        <v>0.16683333333333336</v>
      </c>
    </row>
    <row r="53" spans="2:6" s="414" customFormat="1" ht="31.5">
      <c r="B53" s="411" t="s">
        <v>501</v>
      </c>
      <c r="C53" s="412" t="s">
        <v>502</v>
      </c>
      <c r="D53" s="413" t="s">
        <v>503</v>
      </c>
      <c r="E53" s="413" t="s">
        <v>504</v>
      </c>
      <c r="F53" s="412" t="s">
        <v>474</v>
      </c>
    </row>
    <row r="54" spans="2:6">
      <c r="B54" s="406" t="s">
        <v>495</v>
      </c>
      <c r="C54" s="415" t="s">
        <v>505</v>
      </c>
      <c r="D54" s="416">
        <v>40</v>
      </c>
      <c r="E54" s="416">
        <v>4</v>
      </c>
      <c r="F54" s="416">
        <f>D54*365+E54*250</f>
        <v>15600</v>
      </c>
    </row>
    <row r="55" spans="2:6">
      <c r="B55" s="417" t="s">
        <v>476</v>
      </c>
      <c r="C55" s="415" t="s">
        <v>506</v>
      </c>
      <c r="D55" s="416">
        <v>16</v>
      </c>
      <c r="E55" s="416">
        <v>0</v>
      </c>
      <c r="F55" s="416">
        <f>D55*365+E55</f>
        <v>5840</v>
      </c>
    </row>
    <row r="56" spans="2:6">
      <c r="B56" s="418" t="s">
        <v>477</v>
      </c>
      <c r="C56" s="415" t="s">
        <v>507</v>
      </c>
      <c r="D56" s="416">
        <v>16</v>
      </c>
      <c r="E56" s="416">
        <v>0</v>
      </c>
      <c r="F56" s="416">
        <f>D56*365+E56</f>
        <v>5840</v>
      </c>
    </row>
    <row r="59" spans="2:6" ht="64.5">
      <c r="B59" s="424" t="s">
        <v>508</v>
      </c>
      <c r="C59" s="407" t="s">
        <v>502</v>
      </c>
      <c r="D59" s="423" t="s">
        <v>509</v>
      </c>
      <c r="E59" s="423" t="s">
        <v>510</v>
      </c>
      <c r="F59" s="423" t="s">
        <v>511</v>
      </c>
    </row>
    <row r="60" spans="2:6">
      <c r="B60" s="406" t="s">
        <v>495</v>
      </c>
      <c r="C60" s="415" t="str">
        <f>C54</f>
        <v>Ex</v>
      </c>
      <c r="D60" s="416">
        <v>26</v>
      </c>
      <c r="E60" s="416">
        <v>0</v>
      </c>
      <c r="F60" s="416">
        <f>D60*365+E60*250</f>
        <v>9490</v>
      </c>
    </row>
    <row r="61" spans="2:6">
      <c r="B61" s="417" t="s">
        <v>476</v>
      </c>
      <c r="C61" s="415" t="str">
        <f t="shared" ref="C61:C62" si="17">C55</f>
        <v>EC</v>
      </c>
      <c r="D61" s="416">
        <v>0</v>
      </c>
      <c r="E61" s="416">
        <v>0</v>
      </c>
      <c r="F61" s="416">
        <f>D61*365+E61</f>
        <v>0</v>
      </c>
    </row>
    <row r="62" spans="2:6">
      <c r="B62" s="418" t="s">
        <v>477</v>
      </c>
      <c r="C62" s="415" t="str">
        <f t="shared" si="17"/>
        <v>RJ</v>
      </c>
      <c r="D62" s="416">
        <v>0</v>
      </c>
      <c r="E62" s="416">
        <v>0</v>
      </c>
      <c r="F62" s="416">
        <f>D62*365+E62</f>
        <v>0</v>
      </c>
    </row>
    <row r="64" spans="2:6" ht="64.5">
      <c r="B64" s="421" t="s">
        <v>512</v>
      </c>
      <c r="C64" s="422" t="s">
        <v>502</v>
      </c>
      <c r="D64" s="423" t="s">
        <v>509</v>
      </c>
      <c r="E64" s="423" t="s">
        <v>510</v>
      </c>
      <c r="F64" s="423" t="s">
        <v>511</v>
      </c>
    </row>
    <row r="65" spans="2:6">
      <c r="B65" s="406" t="s">
        <v>495</v>
      </c>
      <c r="C65" s="419" t="str">
        <f>C54</f>
        <v>Ex</v>
      </c>
      <c r="D65" s="416">
        <v>26</v>
      </c>
      <c r="E65" s="416">
        <v>0</v>
      </c>
      <c r="F65" s="416">
        <f>D65*365+E65*250</f>
        <v>9490</v>
      </c>
    </row>
    <row r="66" spans="2:6">
      <c r="B66" s="417" t="s">
        <v>476</v>
      </c>
      <c r="C66" s="419" t="str">
        <f t="shared" ref="C66:C67" si="18">C55</f>
        <v>EC</v>
      </c>
      <c r="D66" s="416">
        <v>0</v>
      </c>
      <c r="E66" s="416">
        <v>0</v>
      </c>
      <c r="F66" s="416">
        <f>D66*365+E66</f>
        <v>0</v>
      </c>
    </row>
    <row r="67" spans="2:6">
      <c r="B67" s="418" t="s">
        <v>477</v>
      </c>
      <c r="C67" s="419" t="str">
        <f t="shared" si="18"/>
        <v>RJ</v>
      </c>
      <c r="D67" s="416">
        <v>0</v>
      </c>
      <c r="E67" s="416">
        <v>0</v>
      </c>
      <c r="F67" s="416">
        <f>D67*365+E67</f>
        <v>0</v>
      </c>
    </row>
  </sheetData>
  <sheetProtection algorithmName="SHA-512" hashValue="YGJelWCt7zZnlV0FQojbBdxDBIYhJwfoueDHkOUWmdB9k/DfMeAp6Oknhic0VdJQ8IiaFrUH1nXdKj3Yzi2RaQ==" saltValue="YGDQyMKkruJkNutnjgCYHw==" spinCount="100000" sheet="1" objects="1" scenarios="1"/>
  <mergeCells count="9">
    <mergeCell ref="B23:D23"/>
    <mergeCell ref="B24:D24"/>
    <mergeCell ref="B50:D50"/>
    <mergeCell ref="B1:F1"/>
    <mergeCell ref="C4:F4"/>
    <mergeCell ref="E5:F5"/>
    <mergeCell ref="C6:F6"/>
    <mergeCell ref="C7:F7"/>
    <mergeCell ref="B22:D22"/>
  </mergeCells>
  <conditionalFormatting sqref="G22:AJ24">
    <cfRule type="cellIs" dxfId="1" priority="1" operator="between">
      <formula>0.01</formula>
      <formula>0.99</formula>
    </cfRule>
    <cfRule type="cellIs" dxfId="0" priority="2" operator="equal">
      <formula>1</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AC082-B2AE-9B4C-8F96-3B15E1F9D61D}">
  <sheetPr>
    <tabColor rgb="FF92D050"/>
  </sheetPr>
  <dimension ref="B2:AG9"/>
  <sheetViews>
    <sheetView zoomScale="80" zoomScaleNormal="80" workbookViewId="0">
      <selection activeCell="B23" sqref="B23"/>
    </sheetView>
  </sheetViews>
  <sheetFormatPr defaultColWidth="9.140625" defaultRowHeight="11.25"/>
  <cols>
    <col min="1" max="1" width="2.140625" style="26" customWidth="1"/>
    <col min="2" max="2" width="47.42578125" style="26" customWidth="1"/>
    <col min="3" max="16384" width="9.140625" style="26"/>
  </cols>
  <sheetData>
    <row r="2" spans="2:33">
      <c r="B2" s="3"/>
      <c r="C2" s="3"/>
      <c r="D2" s="3" t="s">
        <v>10</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2:33">
      <c r="B3" s="4"/>
      <c r="C3" s="4"/>
      <c r="D3" s="3">
        <v>1</v>
      </c>
      <c r="E3" s="3">
        <v>2</v>
      </c>
      <c r="F3" s="3">
        <v>3</v>
      </c>
      <c r="G3" s="3">
        <v>4</v>
      </c>
      <c r="H3" s="3">
        <v>5</v>
      </c>
      <c r="I3" s="3">
        <v>6</v>
      </c>
      <c r="J3" s="3">
        <v>7</v>
      </c>
      <c r="K3" s="3">
        <v>8</v>
      </c>
      <c r="L3" s="3">
        <v>9</v>
      </c>
      <c r="M3" s="3">
        <v>10</v>
      </c>
      <c r="N3" s="3">
        <v>11</v>
      </c>
      <c r="O3" s="3">
        <v>12</v>
      </c>
      <c r="P3" s="3">
        <v>13</v>
      </c>
      <c r="Q3" s="3">
        <v>14</v>
      </c>
      <c r="R3" s="3">
        <v>15</v>
      </c>
      <c r="S3" s="3">
        <v>16</v>
      </c>
      <c r="T3" s="3">
        <v>17</v>
      </c>
      <c r="U3" s="3">
        <v>18</v>
      </c>
      <c r="V3" s="3">
        <v>19</v>
      </c>
      <c r="W3" s="3">
        <v>20</v>
      </c>
      <c r="X3" s="3">
        <v>21</v>
      </c>
      <c r="Y3" s="3">
        <v>22</v>
      </c>
      <c r="Z3" s="3">
        <v>23</v>
      </c>
      <c r="AA3" s="3">
        <v>24</v>
      </c>
      <c r="AB3" s="3">
        <v>25</v>
      </c>
      <c r="AC3" s="3">
        <v>26</v>
      </c>
      <c r="AD3" s="3">
        <v>27</v>
      </c>
      <c r="AE3" s="3">
        <v>28</v>
      </c>
      <c r="AF3" s="3">
        <v>29</v>
      </c>
      <c r="AG3" s="3">
        <v>30</v>
      </c>
    </row>
    <row r="4" spans="2:33">
      <c r="B4" s="6" t="s">
        <v>472</v>
      </c>
      <c r="C4" s="6" t="s">
        <v>9</v>
      </c>
      <c r="D4" s="17">
        <f>Parametre!C13</f>
        <v>2023</v>
      </c>
      <c r="E4" s="17">
        <f>$D$4+D3</f>
        <v>2024</v>
      </c>
      <c r="F4" s="17">
        <f>$D$4+E3</f>
        <v>2025</v>
      </c>
      <c r="G4" s="17">
        <f t="shared" ref="G4:AG4" si="0">$D$4+F3</f>
        <v>2026</v>
      </c>
      <c r="H4" s="17">
        <f t="shared" si="0"/>
        <v>2027</v>
      </c>
      <c r="I4" s="17">
        <f t="shared" si="0"/>
        <v>2028</v>
      </c>
      <c r="J4" s="17">
        <f t="shared" si="0"/>
        <v>2029</v>
      </c>
      <c r="K4" s="17">
        <f t="shared" si="0"/>
        <v>2030</v>
      </c>
      <c r="L4" s="17">
        <f t="shared" si="0"/>
        <v>2031</v>
      </c>
      <c r="M4" s="17">
        <f t="shared" si="0"/>
        <v>2032</v>
      </c>
      <c r="N4" s="17">
        <f t="shared" si="0"/>
        <v>2033</v>
      </c>
      <c r="O4" s="17">
        <f t="shared" si="0"/>
        <v>2034</v>
      </c>
      <c r="P4" s="17">
        <f t="shared" si="0"/>
        <v>2035</v>
      </c>
      <c r="Q4" s="17">
        <f t="shared" si="0"/>
        <v>2036</v>
      </c>
      <c r="R4" s="17">
        <f t="shared" si="0"/>
        <v>2037</v>
      </c>
      <c r="S4" s="17">
        <f t="shared" si="0"/>
        <v>2038</v>
      </c>
      <c r="T4" s="17">
        <f t="shared" si="0"/>
        <v>2039</v>
      </c>
      <c r="U4" s="17">
        <f t="shared" si="0"/>
        <v>2040</v>
      </c>
      <c r="V4" s="17">
        <f t="shared" si="0"/>
        <v>2041</v>
      </c>
      <c r="W4" s="17">
        <f t="shared" si="0"/>
        <v>2042</v>
      </c>
      <c r="X4" s="17">
        <f t="shared" si="0"/>
        <v>2043</v>
      </c>
      <c r="Y4" s="17">
        <f t="shared" si="0"/>
        <v>2044</v>
      </c>
      <c r="Z4" s="17">
        <f t="shared" si="0"/>
        <v>2045</v>
      </c>
      <c r="AA4" s="17">
        <f t="shared" si="0"/>
        <v>2046</v>
      </c>
      <c r="AB4" s="17">
        <f t="shared" si="0"/>
        <v>2047</v>
      </c>
      <c r="AC4" s="17">
        <f t="shared" si="0"/>
        <v>2048</v>
      </c>
      <c r="AD4" s="17">
        <f t="shared" si="0"/>
        <v>2049</v>
      </c>
      <c r="AE4" s="17">
        <f t="shared" si="0"/>
        <v>2050</v>
      </c>
      <c r="AF4" s="17">
        <f t="shared" si="0"/>
        <v>2051</v>
      </c>
      <c r="AG4" s="17">
        <f t="shared" si="0"/>
        <v>2052</v>
      </c>
    </row>
    <row r="5" spans="2:33" ht="12" thickBot="1">
      <c r="B5" s="22" t="s">
        <v>471</v>
      </c>
      <c r="C5" s="131">
        <f>SUM(D5:AG5)</f>
        <v>40372.832500000011</v>
      </c>
      <c r="D5" s="131">
        <f>'Úspora času prípr. vlak - nájom'!G4</f>
        <v>0</v>
      </c>
      <c r="E5" s="131">
        <f>'Úspora času prípr. vlak - nájom'!H4</f>
        <v>0</v>
      </c>
      <c r="F5" s="131">
        <f>'Úspora času prípr. vlak - nájom'!I4</f>
        <v>0</v>
      </c>
      <c r="G5" s="131">
        <f>'Úspora času prípr. vlak - nájom'!J4</f>
        <v>0</v>
      </c>
      <c r="H5" s="131">
        <f>'Úspora času prípr. vlak - nájom'!K4</f>
        <v>791.62416666666672</v>
      </c>
      <c r="I5" s="131">
        <f>'Úspora času prípr. vlak - nájom'!L4</f>
        <v>1583.2483333333334</v>
      </c>
      <c r="J5" s="131">
        <f>'Úspora času prípr. vlak - nájom'!M4</f>
        <v>1583.2483333333334</v>
      </c>
      <c r="K5" s="131">
        <f>'Úspora času prípr. vlak - nájom'!N4</f>
        <v>1583.2483333333334</v>
      </c>
      <c r="L5" s="131">
        <f>'Úspora času prípr. vlak - nájom'!O4</f>
        <v>1583.2483333333334</v>
      </c>
      <c r="M5" s="131">
        <f>'Úspora času prípr. vlak - nájom'!P4</f>
        <v>1583.2483333333334</v>
      </c>
      <c r="N5" s="131">
        <f>'Úspora času prípr. vlak - nájom'!Q4</f>
        <v>1583.2483333333334</v>
      </c>
      <c r="O5" s="131">
        <f>'Úspora času prípr. vlak - nájom'!R4</f>
        <v>1583.2483333333334</v>
      </c>
      <c r="P5" s="131">
        <f>'Úspora času prípr. vlak - nájom'!S4</f>
        <v>1583.2483333333334</v>
      </c>
      <c r="Q5" s="131">
        <f>'Úspora času prípr. vlak - nájom'!T4</f>
        <v>1583.2483333333334</v>
      </c>
      <c r="R5" s="131">
        <f>'Úspora času prípr. vlak - nájom'!U4</f>
        <v>1583.2483333333334</v>
      </c>
      <c r="S5" s="131">
        <f>'Úspora času prípr. vlak - nájom'!V4</f>
        <v>1583.2483333333334</v>
      </c>
      <c r="T5" s="131">
        <f>'Úspora času prípr. vlak - nájom'!W4</f>
        <v>1583.2483333333334</v>
      </c>
      <c r="U5" s="131">
        <f>'Úspora času prípr. vlak - nájom'!X4</f>
        <v>1583.2483333333334</v>
      </c>
      <c r="V5" s="131">
        <f>'Úspora času prípr. vlak - nájom'!Y4</f>
        <v>1583.2483333333334</v>
      </c>
      <c r="W5" s="131">
        <f>'Úspora času prípr. vlak - nájom'!Z4</f>
        <v>1583.2483333333334</v>
      </c>
      <c r="X5" s="131">
        <f>'Úspora času prípr. vlak - nájom'!AA4</f>
        <v>1583.2483333333334</v>
      </c>
      <c r="Y5" s="131">
        <f>'Úspora času prípr. vlak - nájom'!AB4</f>
        <v>1583.2483333333334</v>
      </c>
      <c r="Z5" s="131">
        <f>'Úspora času prípr. vlak - nájom'!AC4</f>
        <v>1583.2483333333334</v>
      </c>
      <c r="AA5" s="131">
        <f>'Úspora času prípr. vlak - nájom'!AD4</f>
        <v>1583.2483333333334</v>
      </c>
      <c r="AB5" s="131">
        <f>'Úspora času prípr. vlak - nájom'!AE4</f>
        <v>1583.2483333333334</v>
      </c>
      <c r="AC5" s="131">
        <f>'Úspora času prípr. vlak - nájom'!AF4</f>
        <v>1583.2483333333334</v>
      </c>
      <c r="AD5" s="131">
        <f>'Úspora času prípr. vlak - nájom'!AG4</f>
        <v>1583.2483333333334</v>
      </c>
      <c r="AE5" s="131">
        <f>'Úspora času prípr. vlak - nájom'!AH4</f>
        <v>1583.2483333333334</v>
      </c>
      <c r="AF5" s="131">
        <f>'Úspora času prípr. vlak - nájom'!AI4</f>
        <v>1583.2483333333334</v>
      </c>
      <c r="AG5" s="131">
        <f>'Úspora času prípr. vlak - nájom'!AJ4</f>
        <v>1583.2483333333334</v>
      </c>
    </row>
    <row r="6" spans="2:33" ht="12" thickTop="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spans="2:33">
      <c r="B7" s="12" t="s">
        <v>693</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spans="2:33">
      <c r="B8" s="425" t="s">
        <v>693</v>
      </c>
      <c r="C8" s="130">
        <f>SUM(D8:AG8)</f>
        <v>4112922.9044481702</v>
      </c>
      <c r="D8" s="130">
        <f>D5*Parametre!$F$55</f>
        <v>0</v>
      </c>
      <c r="E8" s="130">
        <f>E5*Parametre!$F$55</f>
        <v>0</v>
      </c>
      <c r="F8" s="130">
        <f>F5*Parametre!$F$55</f>
        <v>0</v>
      </c>
      <c r="G8" s="130">
        <f>G5*Parametre!$F$55</f>
        <v>0</v>
      </c>
      <c r="H8" s="130">
        <f>H5*Parametre!$F$55</f>
        <v>80645.547146042518</v>
      </c>
      <c r="I8" s="130">
        <f>I5*Parametre!$F$55</f>
        <v>161291.09429208504</v>
      </c>
      <c r="J8" s="130">
        <f>J5*Parametre!$F$55</f>
        <v>161291.09429208504</v>
      </c>
      <c r="K8" s="130">
        <f>K5*Parametre!$F$55</f>
        <v>161291.09429208504</v>
      </c>
      <c r="L8" s="130">
        <f>L5*Parametre!$F$55</f>
        <v>161291.09429208504</v>
      </c>
      <c r="M8" s="130">
        <f>M5*Parametre!$F$55</f>
        <v>161291.09429208504</v>
      </c>
      <c r="N8" s="130">
        <f>N5*Parametre!$F$55</f>
        <v>161291.09429208504</v>
      </c>
      <c r="O8" s="130">
        <f>O5*Parametre!$F$55</f>
        <v>161291.09429208504</v>
      </c>
      <c r="P8" s="130">
        <f>P5*Parametre!$F$55</f>
        <v>161291.09429208504</v>
      </c>
      <c r="Q8" s="130">
        <f>Q5*Parametre!$F$55</f>
        <v>161291.09429208504</v>
      </c>
      <c r="R8" s="130">
        <f>R5*Parametre!$F$55</f>
        <v>161291.09429208504</v>
      </c>
      <c r="S8" s="130">
        <f>S5*Parametre!$F$55</f>
        <v>161291.09429208504</v>
      </c>
      <c r="T8" s="130">
        <f>T5*Parametre!$F$55</f>
        <v>161291.09429208504</v>
      </c>
      <c r="U8" s="130">
        <f>U5*Parametre!$F$55</f>
        <v>161291.09429208504</v>
      </c>
      <c r="V8" s="130">
        <f>V5*Parametre!$F$55</f>
        <v>161291.09429208504</v>
      </c>
      <c r="W8" s="130">
        <f>W5*Parametre!$F$55</f>
        <v>161291.09429208504</v>
      </c>
      <c r="X8" s="130">
        <f>X5*Parametre!$F$55</f>
        <v>161291.09429208504</v>
      </c>
      <c r="Y8" s="130">
        <f>Y5*Parametre!$F$55</f>
        <v>161291.09429208504</v>
      </c>
      <c r="Z8" s="130">
        <f>Z5*Parametre!$F$55</f>
        <v>161291.09429208504</v>
      </c>
      <c r="AA8" s="130">
        <f>AA5*Parametre!$F$55</f>
        <v>161291.09429208504</v>
      </c>
      <c r="AB8" s="130">
        <f>AB5*Parametre!$F$55</f>
        <v>161291.09429208504</v>
      </c>
      <c r="AC8" s="130">
        <f>AC5*Parametre!$F$55</f>
        <v>161291.09429208504</v>
      </c>
      <c r="AD8" s="130">
        <f>AD5*Parametre!$F$55</f>
        <v>161291.09429208504</v>
      </c>
      <c r="AE8" s="130">
        <f>AE5*Parametre!$F$55</f>
        <v>161291.09429208504</v>
      </c>
      <c r="AF8" s="130">
        <f>AF5*Parametre!$F$55</f>
        <v>161291.09429208504</v>
      </c>
      <c r="AG8" s="130">
        <f>AG5*Parametre!$F$55</f>
        <v>161291.09429208504</v>
      </c>
    </row>
    <row r="9" spans="2:33">
      <c r="B9" s="177" t="s">
        <v>694</v>
      </c>
      <c r="C9" s="178">
        <f>SUM(D9:AG9)</f>
        <v>4112922.9044481702</v>
      </c>
      <c r="D9" s="179">
        <f t="shared" ref="D9:AG9" si="1">SUM(D8:D8)</f>
        <v>0</v>
      </c>
      <c r="E9" s="178">
        <f t="shared" si="1"/>
        <v>0</v>
      </c>
      <c r="F9" s="178">
        <f t="shared" si="1"/>
        <v>0</v>
      </c>
      <c r="G9" s="178">
        <f t="shared" si="1"/>
        <v>0</v>
      </c>
      <c r="H9" s="178">
        <f t="shared" si="1"/>
        <v>80645.547146042518</v>
      </c>
      <c r="I9" s="178">
        <f t="shared" si="1"/>
        <v>161291.09429208504</v>
      </c>
      <c r="J9" s="178">
        <f t="shared" si="1"/>
        <v>161291.09429208504</v>
      </c>
      <c r="K9" s="178">
        <f t="shared" si="1"/>
        <v>161291.09429208504</v>
      </c>
      <c r="L9" s="178">
        <f t="shared" si="1"/>
        <v>161291.09429208504</v>
      </c>
      <c r="M9" s="178">
        <f t="shared" si="1"/>
        <v>161291.09429208504</v>
      </c>
      <c r="N9" s="178">
        <f t="shared" si="1"/>
        <v>161291.09429208504</v>
      </c>
      <c r="O9" s="178">
        <f t="shared" si="1"/>
        <v>161291.09429208504</v>
      </c>
      <c r="P9" s="178">
        <f t="shared" si="1"/>
        <v>161291.09429208504</v>
      </c>
      <c r="Q9" s="178">
        <f t="shared" si="1"/>
        <v>161291.09429208504</v>
      </c>
      <c r="R9" s="178">
        <f t="shared" si="1"/>
        <v>161291.09429208504</v>
      </c>
      <c r="S9" s="178">
        <f t="shared" si="1"/>
        <v>161291.09429208504</v>
      </c>
      <c r="T9" s="178">
        <f t="shared" si="1"/>
        <v>161291.09429208504</v>
      </c>
      <c r="U9" s="178">
        <f t="shared" si="1"/>
        <v>161291.09429208504</v>
      </c>
      <c r="V9" s="178">
        <f t="shared" si="1"/>
        <v>161291.09429208504</v>
      </c>
      <c r="W9" s="178">
        <f t="shared" si="1"/>
        <v>161291.09429208504</v>
      </c>
      <c r="X9" s="178">
        <f t="shared" si="1"/>
        <v>161291.09429208504</v>
      </c>
      <c r="Y9" s="178">
        <f t="shared" si="1"/>
        <v>161291.09429208504</v>
      </c>
      <c r="Z9" s="178">
        <f t="shared" si="1"/>
        <v>161291.09429208504</v>
      </c>
      <c r="AA9" s="178">
        <f t="shared" si="1"/>
        <v>161291.09429208504</v>
      </c>
      <c r="AB9" s="178">
        <f t="shared" si="1"/>
        <v>161291.09429208504</v>
      </c>
      <c r="AC9" s="178">
        <f t="shared" si="1"/>
        <v>161291.09429208504</v>
      </c>
      <c r="AD9" s="178">
        <f t="shared" si="1"/>
        <v>161291.09429208504</v>
      </c>
      <c r="AE9" s="178">
        <f t="shared" si="1"/>
        <v>161291.09429208504</v>
      </c>
      <c r="AF9" s="178">
        <f t="shared" si="1"/>
        <v>161291.09429208504</v>
      </c>
      <c r="AG9" s="178">
        <f t="shared" si="1"/>
        <v>161291.09429208504</v>
      </c>
    </row>
  </sheetData>
  <sheetProtection algorithmName="SHA-512" hashValue="9gcFGfWLYtPt3k/i3+VXcbnPfBrHtCnSVBl/U2nf0p6JnjEV91LPtFrvoiXD4Ti9gUnAr5ZN1eOJYsL14tMThg==" saltValue="Rw6rGv56xwXJB09jMEoC2A==" spinCount="100000" sheet="1" objects="1" scenarios="1"/>
  <pageMargins left="0.19687499999999999" right="0.19687499999999999" top="1" bottom="0.79479166666666667" header="0.5" footer="0.5"/>
  <pageSetup paperSize="9" scale="75" orientation="landscape" r:id="rId1"/>
  <headerFooter alignWithMargins="0">
    <oddHeader>&amp;LPríloha 7: Štandardné tabuľky - Cesty
&amp;"Arial,Tučné"&amp;12 10 Náklady na emisie</oddHeader>
    <oddFooter>Strana &amp;P z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97E66-EBE6-194F-B45B-8458745BFEB0}">
  <sheetPr>
    <tabColor rgb="FF92D050"/>
  </sheetPr>
  <dimension ref="B2:AG15"/>
  <sheetViews>
    <sheetView zoomScaleNormal="100" workbookViewId="0">
      <selection activeCell="E20" sqref="E20"/>
    </sheetView>
  </sheetViews>
  <sheetFormatPr defaultColWidth="9.140625" defaultRowHeight="11.25"/>
  <cols>
    <col min="1" max="1" width="2.7109375" style="26" customWidth="1"/>
    <col min="2" max="2" width="46.85546875" style="26" bestFit="1" customWidth="1"/>
    <col min="3" max="3" width="14.28515625" style="26" customWidth="1"/>
    <col min="4" max="33" width="11" style="26" customWidth="1"/>
    <col min="34" max="34" width="5" style="26" bestFit="1" customWidth="1"/>
    <col min="35" max="16384" width="9.140625" style="26"/>
  </cols>
  <sheetData>
    <row r="2" spans="2:33">
      <c r="B2" s="32" t="s">
        <v>357</v>
      </c>
      <c r="C2" s="32"/>
      <c r="D2" s="27" t="s">
        <v>10</v>
      </c>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row>
    <row r="3" spans="2:33">
      <c r="B3" s="28"/>
      <c r="C3" s="28"/>
      <c r="D3" s="29">
        <v>1</v>
      </c>
      <c r="E3" s="29">
        <v>2</v>
      </c>
      <c r="F3" s="29">
        <v>3</v>
      </c>
      <c r="G3" s="29">
        <v>4</v>
      </c>
      <c r="H3" s="29">
        <v>5</v>
      </c>
      <c r="I3" s="29">
        <v>6</v>
      </c>
      <c r="J3" s="29">
        <v>7</v>
      </c>
      <c r="K3" s="29">
        <v>8</v>
      </c>
      <c r="L3" s="29">
        <v>9</v>
      </c>
      <c r="M3" s="29">
        <v>10</v>
      </c>
      <c r="N3" s="29">
        <v>11</v>
      </c>
      <c r="O3" s="29">
        <v>12</v>
      </c>
      <c r="P3" s="29">
        <v>13</v>
      </c>
      <c r="Q3" s="29">
        <v>14</v>
      </c>
      <c r="R3" s="29">
        <v>15</v>
      </c>
      <c r="S3" s="29">
        <v>16</v>
      </c>
      <c r="T3" s="29">
        <v>17</v>
      </c>
      <c r="U3" s="29">
        <v>18</v>
      </c>
      <c r="V3" s="29">
        <v>19</v>
      </c>
      <c r="W3" s="29">
        <v>20</v>
      </c>
      <c r="X3" s="29">
        <v>21</v>
      </c>
      <c r="Y3" s="29">
        <v>22</v>
      </c>
      <c r="Z3" s="29">
        <v>23</v>
      </c>
      <c r="AA3" s="29">
        <v>24</v>
      </c>
      <c r="AB3" s="29">
        <v>25</v>
      </c>
      <c r="AC3" s="29">
        <v>26</v>
      </c>
      <c r="AD3" s="29">
        <v>27</v>
      </c>
      <c r="AE3" s="29">
        <v>28</v>
      </c>
      <c r="AF3" s="29">
        <v>29</v>
      </c>
      <c r="AG3" s="29">
        <v>30</v>
      </c>
    </row>
    <row r="4" spans="2:33" ht="22.5">
      <c r="B4" s="30" t="s">
        <v>37</v>
      </c>
      <c r="C4" s="34" t="s">
        <v>34</v>
      </c>
      <c r="D4" s="31">
        <f>Parametre!C13</f>
        <v>2023</v>
      </c>
      <c r="E4" s="31">
        <f>$D$4+D3</f>
        <v>2024</v>
      </c>
      <c r="F4" s="31">
        <f>$D$4+E3</f>
        <v>2025</v>
      </c>
      <c r="G4" s="31">
        <f t="shared" ref="G4:AG4" si="0">$D$4+F3</f>
        <v>2026</v>
      </c>
      <c r="H4" s="31">
        <f t="shared" si="0"/>
        <v>2027</v>
      </c>
      <c r="I4" s="31">
        <f t="shared" si="0"/>
        <v>2028</v>
      </c>
      <c r="J4" s="31">
        <f t="shared" si="0"/>
        <v>2029</v>
      </c>
      <c r="K4" s="31">
        <f t="shared" si="0"/>
        <v>2030</v>
      </c>
      <c r="L4" s="31">
        <f t="shared" si="0"/>
        <v>2031</v>
      </c>
      <c r="M4" s="31">
        <f t="shared" si="0"/>
        <v>2032</v>
      </c>
      <c r="N4" s="31">
        <f t="shared" si="0"/>
        <v>2033</v>
      </c>
      <c r="O4" s="31">
        <f t="shared" si="0"/>
        <v>2034</v>
      </c>
      <c r="P4" s="31">
        <f t="shared" si="0"/>
        <v>2035</v>
      </c>
      <c r="Q4" s="31">
        <f t="shared" si="0"/>
        <v>2036</v>
      </c>
      <c r="R4" s="31">
        <f t="shared" si="0"/>
        <v>2037</v>
      </c>
      <c r="S4" s="31">
        <f t="shared" si="0"/>
        <v>2038</v>
      </c>
      <c r="T4" s="31">
        <f t="shared" si="0"/>
        <v>2039</v>
      </c>
      <c r="U4" s="31">
        <f t="shared" si="0"/>
        <v>2040</v>
      </c>
      <c r="V4" s="31">
        <f t="shared" si="0"/>
        <v>2041</v>
      </c>
      <c r="W4" s="31">
        <f t="shared" si="0"/>
        <v>2042</v>
      </c>
      <c r="X4" s="31">
        <f t="shared" si="0"/>
        <v>2043</v>
      </c>
      <c r="Y4" s="31">
        <f t="shared" si="0"/>
        <v>2044</v>
      </c>
      <c r="Z4" s="31">
        <f t="shared" si="0"/>
        <v>2045</v>
      </c>
      <c r="AA4" s="31">
        <f t="shared" si="0"/>
        <v>2046</v>
      </c>
      <c r="AB4" s="31">
        <f t="shared" si="0"/>
        <v>2047</v>
      </c>
      <c r="AC4" s="31">
        <f t="shared" si="0"/>
        <v>2048</v>
      </c>
      <c r="AD4" s="31">
        <f t="shared" si="0"/>
        <v>2049</v>
      </c>
      <c r="AE4" s="31">
        <f t="shared" si="0"/>
        <v>2050</v>
      </c>
      <c r="AF4" s="31">
        <f t="shared" si="0"/>
        <v>2051</v>
      </c>
      <c r="AG4" s="31">
        <f t="shared" si="0"/>
        <v>2052</v>
      </c>
    </row>
    <row r="5" spans="2:33">
      <c r="B5" s="27" t="s">
        <v>13</v>
      </c>
      <c r="C5" s="33">
        <f>D5+NPV(Parametre!$C$10,E5:AG5)</f>
        <v>0</v>
      </c>
      <c r="D5" s="33">
        <f>-'01 Investičné výdavky - nájom'!D29</f>
        <v>0</v>
      </c>
      <c r="E5" s="33">
        <f>-'01 Investičné výdavky - nájom'!E29</f>
        <v>0</v>
      </c>
      <c r="F5" s="33">
        <f>-'01 Investičné výdavky - nájom'!F29</f>
        <v>0</v>
      </c>
      <c r="G5" s="33">
        <f>-'01 Investičné výdavky - nájom'!G29</f>
        <v>0</v>
      </c>
      <c r="H5" s="33">
        <f>-'01 Investičné výdavky - nájom'!H29</f>
        <v>0</v>
      </c>
      <c r="I5" s="33">
        <f>-'01 Investičné výdavky - nájom'!I29</f>
        <v>0</v>
      </c>
      <c r="J5" s="33">
        <f>-'01 Investičné výdavky - nájom'!J29</f>
        <v>0</v>
      </c>
      <c r="K5" s="33">
        <f>-'01 Investičné výdavky - nájom'!K29</f>
        <v>0</v>
      </c>
      <c r="L5" s="33">
        <f>-'01 Investičné výdavky - nájom'!L29</f>
        <v>0</v>
      </c>
      <c r="M5" s="33">
        <f>-'01 Investičné výdavky - nájom'!M29</f>
        <v>0</v>
      </c>
      <c r="N5" s="33">
        <f>-'01 Investičné výdavky - nájom'!N29</f>
        <v>0</v>
      </c>
      <c r="O5" s="33">
        <f>-'01 Investičné výdavky - nájom'!O29</f>
        <v>0</v>
      </c>
      <c r="P5" s="33">
        <f>-'01 Investičné výdavky - nájom'!P29</f>
        <v>0</v>
      </c>
      <c r="Q5" s="33">
        <f>-'01 Investičné výdavky - nájom'!Q29</f>
        <v>0</v>
      </c>
      <c r="R5" s="33">
        <f>-'01 Investičné výdavky - nájom'!R29</f>
        <v>0</v>
      </c>
      <c r="S5" s="33">
        <f>-'01 Investičné výdavky - nájom'!S29</f>
        <v>0</v>
      </c>
      <c r="T5" s="33">
        <f>-'01 Investičné výdavky - nájom'!T29</f>
        <v>0</v>
      </c>
      <c r="U5" s="33">
        <f>-'01 Investičné výdavky - nájom'!U29</f>
        <v>0</v>
      </c>
      <c r="V5" s="33">
        <f>-'01 Investičné výdavky - nájom'!V29</f>
        <v>0</v>
      </c>
      <c r="W5" s="33">
        <f>-'01 Investičné výdavky - nájom'!W29</f>
        <v>0</v>
      </c>
      <c r="X5" s="33">
        <f>-'01 Investičné výdavky - nájom'!X29</f>
        <v>0</v>
      </c>
      <c r="Y5" s="33">
        <f>-'01 Investičné výdavky - nájom'!Y29</f>
        <v>0</v>
      </c>
      <c r="Z5" s="33">
        <f>-'01 Investičné výdavky - nájom'!Z29</f>
        <v>0</v>
      </c>
      <c r="AA5" s="33">
        <f>-'01 Investičné výdavky - nájom'!AA29</f>
        <v>0</v>
      </c>
      <c r="AB5" s="33">
        <f>-'01 Investičné výdavky - nájom'!AB29</f>
        <v>0</v>
      </c>
      <c r="AC5" s="33">
        <f>-'01 Investičné výdavky - nájom'!AC29</f>
        <v>0</v>
      </c>
      <c r="AD5" s="33">
        <f>-'01 Investičné výdavky - nájom'!AD29</f>
        <v>0</v>
      </c>
      <c r="AE5" s="33">
        <f>-'01 Investičné výdavky - nájom'!AE29</f>
        <v>0</v>
      </c>
      <c r="AF5" s="33">
        <f>-'01 Investičné výdavky - nájom'!AF29</f>
        <v>0</v>
      </c>
      <c r="AG5" s="33">
        <f>-'01 Investičné výdavky - nájom'!AG29</f>
        <v>0</v>
      </c>
    </row>
    <row r="6" spans="2:33">
      <c r="B6" s="27" t="s">
        <v>448</v>
      </c>
      <c r="C6" s="33">
        <f>D6+NPV(Parametre!$C$10,E6:AG6)</f>
        <v>-183070882.95919305</v>
      </c>
      <c r="D6" s="33">
        <f>-'03 Prevádzkové výdavky prenájom'!D43</f>
        <v>0</v>
      </c>
      <c r="E6" s="33">
        <f>-'03 Prevádzkové výdavky prenájom'!E43</f>
        <v>0</v>
      </c>
      <c r="F6" s="33">
        <f>-'03 Prevádzkové výdavky prenájom'!F43</f>
        <v>585036</v>
      </c>
      <c r="G6" s="33">
        <f>-'03 Prevádzkové výdavky prenájom'!G43</f>
        <v>55756332</v>
      </c>
      <c r="H6" s="33">
        <f>-'03 Prevádzkové výdavky prenájom'!H43</f>
        <v>77789079</v>
      </c>
      <c r="I6" s="33">
        <f>-'03 Prevádzkové výdavky prenájom'!I43</f>
        <v>58475663.999999985</v>
      </c>
      <c r="J6" s="33">
        <f>-'03 Prevádzkové výdavky prenájom'!J43</f>
        <v>58475663.999999985</v>
      </c>
      <c r="K6" s="33">
        <f>-'03 Prevádzkové výdavky prenájom'!K43</f>
        <v>-41874336.000000015</v>
      </c>
      <c r="L6" s="33">
        <f>-'03 Prevádzkové výdavky prenájom'!L43</f>
        <v>-41874336.000000015</v>
      </c>
      <c r="M6" s="33">
        <f>-'03 Prevádzkové výdavky prenájom'!M43</f>
        <v>-41874336.000000015</v>
      </c>
      <c r="N6" s="33">
        <f>-'03 Prevádzkové výdavky prenájom'!N43</f>
        <v>-41874336.000000015</v>
      </c>
      <c r="O6" s="33">
        <f>-'03 Prevádzkové výdavky prenájom'!O43</f>
        <v>-41874336.000000015</v>
      </c>
      <c r="P6" s="33">
        <f>-'03 Prevádzkové výdavky prenájom'!P43</f>
        <v>-41874336.000000015</v>
      </c>
      <c r="Q6" s="33">
        <f>-'03 Prevádzkové výdavky prenájom'!Q43</f>
        <v>-41874336.000000015</v>
      </c>
      <c r="R6" s="33">
        <f>-'03 Prevádzkové výdavky prenájom'!R43</f>
        <v>-41874336.000000015</v>
      </c>
      <c r="S6" s="33">
        <f>-'03 Prevádzkové výdavky prenájom'!S43</f>
        <v>-41874336.000000015</v>
      </c>
      <c r="T6" s="33">
        <f>-'03 Prevádzkové výdavky prenájom'!T43</f>
        <v>-41874336.000000015</v>
      </c>
      <c r="U6" s="33">
        <f>-'03 Prevádzkové výdavky prenájom'!U43</f>
        <v>-41874336.000000015</v>
      </c>
      <c r="V6" s="33">
        <f>-'03 Prevádzkové výdavky prenájom'!V43</f>
        <v>-25674336.000000015</v>
      </c>
      <c r="W6" s="33">
        <f>-'03 Prevádzkové výdavky prenájom'!W43</f>
        <v>-15774336.000000015</v>
      </c>
      <c r="X6" s="33">
        <f>-'03 Prevádzkové výdavky prenájom'!X43</f>
        <v>-15774336.000000015</v>
      </c>
      <c r="Y6" s="33">
        <f>-'03 Prevádzkové výdavky prenájom'!Y43</f>
        <v>-15774336.000000015</v>
      </c>
      <c r="Z6" s="33">
        <f>-'03 Prevádzkové výdavky prenájom'!Z43</f>
        <v>-41874336.000000015</v>
      </c>
      <c r="AA6" s="33">
        <f>-'03 Prevádzkové výdavky prenájom'!AA43</f>
        <v>-41874336.000000015</v>
      </c>
      <c r="AB6" s="33">
        <f>-'03 Prevádzkové výdavky prenájom'!AB43</f>
        <v>-41874336.000000015</v>
      </c>
      <c r="AC6" s="33">
        <f>-'03 Prevádzkové výdavky prenájom'!AC43</f>
        <v>-41874336.000000015</v>
      </c>
      <c r="AD6" s="33">
        <f>-'03 Prevádzkové výdavky prenájom'!AD43</f>
        <v>-41874336.000000015</v>
      </c>
      <c r="AE6" s="33">
        <f>-'03 Prevádzkové výdavky prenájom'!AE43</f>
        <v>-41874336.000000015</v>
      </c>
      <c r="AF6" s="33">
        <f>-'03 Prevádzkové výdavky prenájom'!AF43</f>
        <v>-41874336.000000015</v>
      </c>
      <c r="AG6" s="33">
        <f>-'03 Prevádzkové výdavky prenájom'!AG43</f>
        <v>-41874336.000000015</v>
      </c>
    </row>
    <row r="7" spans="2:33">
      <c r="B7" s="27" t="s">
        <v>256</v>
      </c>
      <c r="C7" s="33">
        <f>D7+NPV(Parametre!$C$10,E7:AG7)</f>
        <v>27919370.232565217</v>
      </c>
      <c r="D7" s="33">
        <f>'07 Čas cestujúcich - nájom'!D14</f>
        <v>0</v>
      </c>
      <c r="E7" s="33">
        <f>'07 Čas cestujúcich - nájom'!E14</f>
        <v>0</v>
      </c>
      <c r="F7" s="33">
        <f>'07 Čas cestujúcich - nájom'!F14</f>
        <v>0</v>
      </c>
      <c r="G7" s="33">
        <f>'07 Čas cestujúcich - nájom'!G14</f>
        <v>0</v>
      </c>
      <c r="H7" s="33">
        <f>'07 Čas cestujúcich - nájom'!H14</f>
        <v>1110384.085654438</v>
      </c>
      <c r="I7" s="33">
        <f>'07 Čas cestujúcich - nájom'!I14</f>
        <v>2239775.165256164</v>
      </c>
      <c r="J7" s="33">
        <f>'07 Čas cestujúcich - nájom'!J14</f>
        <v>2260408.8235233934</v>
      </c>
      <c r="K7" s="33">
        <f>'07 Čas cestujúcich - nájom'!K14</f>
        <v>2281273.7159573119</v>
      </c>
      <c r="L7" s="33">
        <f>'07 Čas cestujúcich - nájom'!L14</f>
        <v>2295362.0878743427</v>
      </c>
      <c r="M7" s="33">
        <f>'07 Čas cestujúcich - nájom'!M14</f>
        <v>2309039.8987904778</v>
      </c>
      <c r="N7" s="33">
        <f>'07 Čas cestujúcich - nájom'!N14</f>
        <v>2322388.289540058</v>
      </c>
      <c r="O7" s="33">
        <f>'07 Čas cestujúcich - nájom'!O14</f>
        <v>2335458.1532643759</v>
      </c>
      <c r="P7" s="33">
        <f>'07 Čas cestujúcich - nájom'!P14</f>
        <v>2348262.0876525999</v>
      </c>
      <c r="Q7" s="33">
        <f>'07 Čas cestujúcich - nájom'!Q14</f>
        <v>2359486.1456148457</v>
      </c>
      <c r="R7" s="33">
        <f>'07 Čas cestujúcich - nájom'!R14</f>
        <v>2369107.0937404521</v>
      </c>
      <c r="S7" s="33">
        <f>'07 Čas cestujúcich - nájom'!S14</f>
        <v>2377224.2457726616</v>
      </c>
      <c r="T7" s="33">
        <f>'07 Čas cestujúcich - nájom'!T14</f>
        <v>2383700.831587946</v>
      </c>
      <c r="U7" s="33">
        <f>'07 Čas cestujúcich - nájom'!U14</f>
        <v>2388523.3169233277</v>
      </c>
      <c r="V7" s="33">
        <f>'07 Čas cestujúcich - nájom'!V14</f>
        <v>2390013.0380708519</v>
      </c>
      <c r="W7" s="33">
        <f>'07 Čas cestujúcich - nájom'!W14</f>
        <v>2389229.1533115362</v>
      </c>
      <c r="X7" s="33">
        <f>'07 Čas cestujúcich - nájom'!X14</f>
        <v>2386172.6684514792</v>
      </c>
      <c r="Y7" s="33">
        <f>'07 Čas cestujúcich - nájom'!Y14</f>
        <v>2380851.0594603997</v>
      </c>
      <c r="Z7" s="33">
        <f>'07 Čas cestujúcich - nájom'!Z14</f>
        <v>2373278.2432147423</v>
      </c>
      <c r="AA7" s="33">
        <f>'07 Čas cestujúcich - nájom'!AA14</f>
        <v>2362519.9303684281</v>
      </c>
      <c r="AB7" s="33">
        <f>'07 Čas cestujúcich - nájom'!AB14</f>
        <v>2348616.2685513925</v>
      </c>
      <c r="AC7" s="33">
        <f>'07 Čas cestujúcich - nájom'!AC14</f>
        <v>2332389.7149761217</v>
      </c>
      <c r="AD7" s="33">
        <f>'07 Čas cestujúcich - nájom'!AD14</f>
        <v>2313114.2927520974</v>
      </c>
      <c r="AE7" s="33">
        <f>'07 Čas cestujúcich - nájom'!AE14</f>
        <v>2290864.3246555105</v>
      </c>
      <c r="AF7" s="33">
        <f>'07 Čas cestujúcich - nájom'!AF14</f>
        <v>2267308.8967291918</v>
      </c>
      <c r="AG7" s="33">
        <f>'07 Čas cestujúcich - nájom'!AG14</f>
        <v>2239705.2651859061</v>
      </c>
    </row>
    <row r="8" spans="2:33">
      <c r="B8" s="27" t="s">
        <v>470</v>
      </c>
      <c r="C8" s="33">
        <f>D8+NPV(Parametre!$C$10,E8:AG8)</f>
        <v>1936537.3802852808</v>
      </c>
      <c r="D8" s="33">
        <f>'08 Čas prípravy vlaku - nájom'!D9</f>
        <v>0</v>
      </c>
      <c r="E8" s="33">
        <f>'08 Čas prípravy vlaku - nájom'!E9</f>
        <v>0</v>
      </c>
      <c r="F8" s="33">
        <f>'08 Čas prípravy vlaku - nájom'!F9</f>
        <v>0</v>
      </c>
      <c r="G8" s="33">
        <f>'08 Čas prípravy vlaku - nájom'!G9</f>
        <v>0</v>
      </c>
      <c r="H8" s="33">
        <f>'08 Čas prípravy vlaku - nájom'!H9</f>
        <v>80645.547146042518</v>
      </c>
      <c r="I8" s="33">
        <f>'08 Čas prípravy vlaku - nájom'!I9</f>
        <v>161291.09429208504</v>
      </c>
      <c r="J8" s="33">
        <f>'08 Čas prípravy vlaku - nájom'!J9</f>
        <v>161291.09429208504</v>
      </c>
      <c r="K8" s="33">
        <f>'08 Čas prípravy vlaku - nájom'!K9</f>
        <v>161291.09429208504</v>
      </c>
      <c r="L8" s="33">
        <f>'08 Čas prípravy vlaku - nájom'!L9</f>
        <v>161291.09429208504</v>
      </c>
      <c r="M8" s="33">
        <f>'08 Čas prípravy vlaku - nájom'!M9</f>
        <v>161291.09429208504</v>
      </c>
      <c r="N8" s="33">
        <f>'08 Čas prípravy vlaku - nájom'!N9</f>
        <v>161291.09429208504</v>
      </c>
      <c r="O8" s="33">
        <f>'08 Čas prípravy vlaku - nájom'!O9</f>
        <v>161291.09429208504</v>
      </c>
      <c r="P8" s="33">
        <f>'08 Čas prípravy vlaku - nájom'!P9</f>
        <v>161291.09429208504</v>
      </c>
      <c r="Q8" s="33">
        <f>'08 Čas prípravy vlaku - nájom'!Q9</f>
        <v>161291.09429208504</v>
      </c>
      <c r="R8" s="33">
        <f>'08 Čas prípravy vlaku - nájom'!R9</f>
        <v>161291.09429208504</v>
      </c>
      <c r="S8" s="33">
        <f>'08 Čas prípravy vlaku - nájom'!S9</f>
        <v>161291.09429208504</v>
      </c>
      <c r="T8" s="33">
        <f>'08 Čas prípravy vlaku - nájom'!T9</f>
        <v>161291.09429208504</v>
      </c>
      <c r="U8" s="33">
        <f>'08 Čas prípravy vlaku - nájom'!U9</f>
        <v>161291.09429208504</v>
      </c>
      <c r="V8" s="33">
        <f>'08 Čas prípravy vlaku - nájom'!V9</f>
        <v>161291.09429208504</v>
      </c>
      <c r="W8" s="33">
        <f>'08 Čas prípravy vlaku - nájom'!W9</f>
        <v>161291.09429208504</v>
      </c>
      <c r="X8" s="33">
        <f>'08 Čas prípravy vlaku - nájom'!X9</f>
        <v>161291.09429208504</v>
      </c>
      <c r="Y8" s="33">
        <f>'08 Čas prípravy vlaku - nájom'!Y9</f>
        <v>161291.09429208504</v>
      </c>
      <c r="Z8" s="33">
        <f>'08 Čas prípravy vlaku - nájom'!Z9</f>
        <v>161291.09429208504</v>
      </c>
      <c r="AA8" s="33">
        <f>'08 Čas prípravy vlaku - nájom'!AA9</f>
        <v>161291.09429208504</v>
      </c>
      <c r="AB8" s="33">
        <f>'08 Čas prípravy vlaku - nájom'!AB9</f>
        <v>161291.09429208504</v>
      </c>
      <c r="AC8" s="33">
        <f>'08 Čas prípravy vlaku - nájom'!AC9</f>
        <v>161291.09429208504</v>
      </c>
      <c r="AD8" s="33">
        <f>'08 Čas prípravy vlaku - nájom'!AD9</f>
        <v>161291.09429208504</v>
      </c>
      <c r="AE8" s="33">
        <f>'08 Čas prípravy vlaku - nájom'!AE9</f>
        <v>161291.09429208504</v>
      </c>
      <c r="AF8" s="33">
        <f>'08 Čas prípravy vlaku - nájom'!AF9</f>
        <v>161291.09429208504</v>
      </c>
      <c r="AG8" s="33">
        <f>'08 Čas prípravy vlaku - nájom'!AG9</f>
        <v>161291.09429208504</v>
      </c>
    </row>
    <row r="9" spans="2:33">
      <c r="B9" s="27" t="s">
        <v>15</v>
      </c>
      <c r="C9" s="33">
        <f>D9+NPV(Parametre!$C$10,E9:AG9)</f>
        <v>0</v>
      </c>
      <c r="D9" s="33">
        <v>0</v>
      </c>
      <c r="E9" s="33">
        <v>0</v>
      </c>
      <c r="F9" s="33">
        <v>0</v>
      </c>
      <c r="G9" s="33">
        <v>0</v>
      </c>
      <c r="H9" s="33">
        <v>0</v>
      </c>
      <c r="I9" s="33">
        <v>0</v>
      </c>
      <c r="J9" s="33">
        <v>0</v>
      </c>
      <c r="K9" s="33">
        <v>0</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426">
        <f>MIN('02 Zostatková hodnota - nájom'!I7,'02 Zostatková hodnota - nájom'!C13)</f>
        <v>0</v>
      </c>
    </row>
    <row r="10" spans="2:33">
      <c r="B10" s="173" t="s">
        <v>38</v>
      </c>
      <c r="C10" s="172">
        <f>D10+NPV(Parametre!$C$10,E10:AG10)</f>
        <v>-153214975.34634259</v>
      </c>
      <c r="D10" s="172">
        <f t="shared" ref="D10:AG10" si="1">SUM(D5:D9)</f>
        <v>0</v>
      </c>
      <c r="E10" s="172">
        <f t="shared" si="1"/>
        <v>0</v>
      </c>
      <c r="F10" s="172">
        <f t="shared" si="1"/>
        <v>585036</v>
      </c>
      <c r="G10" s="172">
        <f t="shared" si="1"/>
        <v>55756332</v>
      </c>
      <c r="H10" s="172">
        <f t="shared" si="1"/>
        <v>78980108.632800475</v>
      </c>
      <c r="I10" s="172">
        <f t="shared" si="1"/>
        <v>60876730.259548232</v>
      </c>
      <c r="J10" s="172">
        <f t="shared" si="1"/>
        <v>60897363.917815462</v>
      </c>
      <c r="K10" s="172">
        <f t="shared" si="1"/>
        <v>-39431771.189750619</v>
      </c>
      <c r="L10" s="172">
        <f t="shared" si="1"/>
        <v>-39417682.817833588</v>
      </c>
      <c r="M10" s="172">
        <f t="shared" si="1"/>
        <v>-39404005.006917454</v>
      </c>
      <c r="N10" s="172">
        <f t="shared" si="1"/>
        <v>-39390656.616167873</v>
      </c>
      <c r="O10" s="172">
        <f t="shared" si="1"/>
        <v>-39377586.752443559</v>
      </c>
      <c r="P10" s="172">
        <f t="shared" si="1"/>
        <v>-39364782.818055332</v>
      </c>
      <c r="Q10" s="172">
        <f t="shared" si="1"/>
        <v>-39353558.760093085</v>
      </c>
      <c r="R10" s="172">
        <f t="shared" si="1"/>
        <v>-39343937.811967485</v>
      </c>
      <c r="S10" s="172">
        <f t="shared" si="1"/>
        <v>-39335820.659935273</v>
      </c>
      <c r="T10" s="172">
        <f t="shared" si="1"/>
        <v>-39329344.074119985</v>
      </c>
      <c r="U10" s="172">
        <f t="shared" si="1"/>
        <v>-39324521.588784605</v>
      </c>
      <c r="V10" s="172">
        <f t="shared" si="1"/>
        <v>-23123031.867637079</v>
      </c>
      <c r="W10" s="172">
        <f t="shared" si="1"/>
        <v>-13223815.752396394</v>
      </c>
      <c r="X10" s="172">
        <f t="shared" si="1"/>
        <v>-13226872.237256451</v>
      </c>
      <c r="Y10" s="172">
        <f t="shared" si="1"/>
        <v>-13232193.84624753</v>
      </c>
      <c r="Z10" s="172">
        <f t="shared" si="1"/>
        <v>-39339766.662493192</v>
      </c>
      <c r="AA10" s="172">
        <f t="shared" si="1"/>
        <v>-39350524.975339502</v>
      </c>
      <c r="AB10" s="172">
        <f t="shared" si="1"/>
        <v>-39364428.637156539</v>
      </c>
      <c r="AC10" s="172">
        <f t="shared" si="1"/>
        <v>-39380655.190731809</v>
      </c>
      <c r="AD10" s="172">
        <f t="shared" si="1"/>
        <v>-39399930.612955838</v>
      </c>
      <c r="AE10" s="172">
        <f t="shared" si="1"/>
        <v>-39422180.581052423</v>
      </c>
      <c r="AF10" s="172">
        <f t="shared" si="1"/>
        <v>-39445736.008978739</v>
      </c>
      <c r="AG10" s="172">
        <f t="shared" si="1"/>
        <v>-39473339.640522026</v>
      </c>
    </row>
    <row r="12" spans="2:33">
      <c r="B12" s="35" t="s">
        <v>39</v>
      </c>
      <c r="C12" s="174">
        <f>D10+NPV(0.05,E10:AG10)</f>
        <v>-153214975.34634259</v>
      </c>
      <c r="D12" s="26" t="s">
        <v>0</v>
      </c>
    </row>
    <row r="13" spans="2:33">
      <c r="B13" s="35" t="s">
        <v>40</v>
      </c>
      <c r="C13" s="175">
        <f>IRR(D10:AG10,1)</f>
        <v>0.10988245227532389</v>
      </c>
      <c r="D13" s="26" t="s">
        <v>725</v>
      </c>
    </row>
    <row r="14" spans="2:33">
      <c r="B14" s="35" t="s">
        <v>1</v>
      </c>
      <c r="C14" s="176">
        <f>ABS((C7+C8+C9)/(C5+C6))</f>
        <v>0.16308386746299494</v>
      </c>
    </row>
    <row r="15" spans="2:33">
      <c r="B15" s="35" t="s">
        <v>449</v>
      </c>
      <c r="C15" s="176" t="e">
        <f>ABS((C6+C7+C8+C9)/(C5))</f>
        <v>#DIV/0!</v>
      </c>
    </row>
  </sheetData>
  <sheetProtection algorithmName="SHA-512" hashValue="vQ+oN9fSEuZebNZN3z8ZahYHXHBOfKqQW1PQR6B2aMLL6EVcKqxXhj7rcM1xBSAaDmK3NJZFwkG+RTiFsdAWKg==" saltValue="qvIDoDJop80WAmdkGxaMHA==" spinCount="100000" sheet="1" objects="1" scenarios="1"/>
  <pageMargins left="0.19687499999999999" right="0.19687499999999999" top="1" bottom="1" header="0.5" footer="0.5"/>
  <pageSetup scale="75" orientation="landscape" r:id="rId1"/>
  <headerFooter alignWithMargins="0">
    <oddHeader>&amp;LPríloha 7: Štandardné tabuľky - Cesty
&amp;"Arial,Tučné"&amp;12 11 Ekonomická analýza</oddHeader>
    <oddFooter>Strana &amp;P z &amp;N</oddFooter>
  </headerFooter>
  <ignoredErrors>
    <ignoredError sqref="C15" evalErro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37</vt:i4>
      </vt:variant>
    </vt:vector>
  </HeadingPairs>
  <TitlesOfParts>
    <vt:vector size="37" baseType="lpstr">
      <vt:lpstr>Cenová inflácia</vt:lpstr>
      <vt:lpstr>Hrubý domáci produkt</vt:lpstr>
      <vt:lpstr>Parametre</vt:lpstr>
      <vt:lpstr>Nákup =&gt;</vt:lpstr>
      <vt:lpstr>01 Investičné výdavky - nákup</vt:lpstr>
      <vt:lpstr>02 Zostatková hodnota - nákup</vt:lpstr>
      <vt:lpstr>03 Prevádzkové výdavky nákup</vt:lpstr>
      <vt:lpstr>03A PV nákup bez proj. pomocne</vt:lpstr>
      <vt:lpstr>03B PV nákup s proj. pomocné </vt:lpstr>
      <vt:lpstr>04 Prevádzkové príjmy - nákup</vt:lpstr>
      <vt:lpstr>05 Financovanie - nákup</vt:lpstr>
      <vt:lpstr>06 Finančná analýza - nákup</vt:lpstr>
      <vt:lpstr>Úspora času cestujúci - nákup</vt:lpstr>
      <vt:lpstr>07 Čas cestujúcich - nákup</vt:lpstr>
      <vt:lpstr>Úspora času prípr. vlak - nákup</vt:lpstr>
      <vt:lpstr>08 Čas prípravy vlaku - nákup</vt:lpstr>
      <vt:lpstr>09 Ekonomická analýza - nákup</vt:lpstr>
      <vt:lpstr>Analýza citl. FNPV_C - nákup </vt:lpstr>
      <vt:lpstr>Analýza citl.  ENPV - nákup</vt:lpstr>
      <vt:lpstr>Analýza scenárov - nákup</vt:lpstr>
      <vt:lpstr>Kvalitatívna analýza - nákup</vt:lpstr>
      <vt:lpstr>Pravdep. analýza FNPV_C - nákup</vt:lpstr>
      <vt:lpstr>Pravdepod. analýza ENPV - nákup</vt:lpstr>
      <vt:lpstr>Nájom =&gt;</vt:lpstr>
      <vt:lpstr>01 Investičné výdavky - nájom</vt:lpstr>
      <vt:lpstr>02 Zostatková hodnota - nájom</vt:lpstr>
      <vt:lpstr>03 Prevádzkové výdavky prenájom</vt:lpstr>
      <vt:lpstr>03A PV nájom bez proj. pomocné</vt:lpstr>
      <vt:lpstr>03B PV nájom s proj. pomocné</vt:lpstr>
      <vt:lpstr>04 Prevádzkové príjmy - nájom</vt:lpstr>
      <vt:lpstr>05 Financovanie - nájom</vt:lpstr>
      <vt:lpstr>06 Finančná analýza - nájom</vt:lpstr>
      <vt:lpstr>Úspora času cestujúci - nájom</vt:lpstr>
      <vt:lpstr>07 Čas cestujúcich - nájom</vt:lpstr>
      <vt:lpstr>Úspora času prípr. vlak - nájom</vt:lpstr>
      <vt:lpstr>08 Čas prípravy vlaku - nájom</vt:lpstr>
      <vt:lpstr>09 Ekonomická analýza - nájom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Bajs Rastislav</cp:lastModifiedBy>
  <cp:lastPrinted>2024-04-22T08:30:19Z</cp:lastPrinted>
  <dcterms:created xsi:type="dcterms:W3CDTF">2011-05-19T08:19:19Z</dcterms:created>
  <dcterms:modified xsi:type="dcterms:W3CDTF">2024-04-22T09:10:25Z</dcterms:modified>
</cp:coreProperties>
</file>