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HP\00_HODNOTA_ZA_PENIAZE\01_INVESTICIE\08_UNB\"/>
    </mc:Choice>
  </mc:AlternateContent>
  <bookViews>
    <workbookView xWindow="0" yWindow="0" windowWidth="27870" windowHeight="16110"/>
  </bookViews>
  <sheets>
    <sheet name="novaUNB_podklady" sheetId="1" r:id="rId1"/>
    <sheet name="novaUNB_financna_nUNB" sheetId="2" r:id="rId2"/>
    <sheet name="novaUNB_financna_projekt" sheetId="3" r:id="rId3"/>
    <sheet name="novaUNB_graf1_3" sheetId="5" r:id="rId4"/>
    <sheet name="novaUNB_graf2" sheetId="6" r:id="rId5"/>
    <sheet name="novaUNB_graf4_9" sheetId="7" r:id="rId6"/>
    <sheet name="novaUNB_graf6_8" sheetId="9" r:id="rId7"/>
    <sheet name="novaUNB_graf7" sheetId="8" r:id="rId8"/>
    <sheet name="novaUNB_graf_10" sheetId="11" r:id="rId9"/>
    <sheet name="novaUNB_graf_11" sheetId="12" r:id="rId10"/>
    <sheet name="novaUNB_graf_12" sheetId="13" r:id="rId11"/>
    <sheet name="novaUNB_benchmarks" sheetId="4" r:id="rId12"/>
    <sheet name="novaUNB_GFA" sheetId="14" r:id="rId1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H19" i="2"/>
  <c r="F19" i="2"/>
  <c r="I44" i="3" l="1"/>
  <c r="B14" i="14" l="1"/>
  <c r="I9" i="14"/>
  <c r="H9" i="14"/>
  <c r="G9" i="14"/>
  <c r="F9" i="14"/>
  <c r="F11" i="14"/>
  <c r="F10" i="14"/>
  <c r="D9" i="14"/>
  <c r="B9" i="14"/>
  <c r="B11" i="14"/>
  <c r="B10" i="14"/>
  <c r="B7" i="14"/>
  <c r="J12" i="2" l="1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I12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I14" i="2"/>
  <c r="O19" i="2"/>
  <c r="P19" i="2"/>
  <c r="Q19" i="2"/>
  <c r="Q17" i="2" s="1"/>
  <c r="R19" i="2"/>
  <c r="R17" i="2" s="1"/>
  <c r="S19" i="2"/>
  <c r="T19" i="2"/>
  <c r="U19" i="2"/>
  <c r="U17" i="2" s="1"/>
  <c r="V19" i="2"/>
  <c r="V17" i="2" s="1"/>
  <c r="W19" i="2"/>
  <c r="X19" i="2"/>
  <c r="Y19" i="2"/>
  <c r="Y17" i="2" s="1"/>
  <c r="Z19" i="2"/>
  <c r="Z17" i="2" s="1"/>
  <c r="AA19" i="2"/>
  <c r="AB19" i="2"/>
  <c r="AC19" i="2"/>
  <c r="AC17" i="2" s="1"/>
  <c r="AD19" i="2"/>
  <c r="AD17" i="2" s="1"/>
  <c r="AE19" i="2"/>
  <c r="AF19" i="2"/>
  <c r="AG19" i="2"/>
  <c r="AG17" i="2" s="1"/>
  <c r="AH19" i="2"/>
  <c r="AH17" i="2" s="1"/>
  <c r="AI19" i="2"/>
  <c r="AJ19" i="2"/>
  <c r="N19" i="2"/>
  <c r="N17" i="2" s="1"/>
  <c r="AJ17" i="2"/>
  <c r="AI17" i="2"/>
  <c r="AF17" i="2"/>
  <c r="AE17" i="2"/>
  <c r="AB17" i="2"/>
  <c r="AA17" i="2"/>
  <c r="X17" i="2"/>
  <c r="W17" i="2"/>
  <c r="T17" i="2"/>
  <c r="S17" i="2"/>
  <c r="P17" i="2"/>
  <c r="O17" i="2"/>
  <c r="G17" i="2"/>
  <c r="H17" i="2"/>
  <c r="F17" i="2"/>
  <c r="B49" i="3" l="1"/>
  <c r="B15" i="1" l="1"/>
  <c r="B14" i="1"/>
  <c r="B13" i="1"/>
  <c r="B12" i="1"/>
  <c r="B11" i="1"/>
  <c r="B10" i="1"/>
  <c r="B9" i="1"/>
  <c r="B8" i="1"/>
  <c r="D8" i="8" l="1"/>
  <c r="B8" i="8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C10" i="9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1" i="7"/>
  <c r="B10" i="7"/>
  <c r="B9" i="7"/>
  <c r="D56" i="3"/>
  <c r="E56" i="3"/>
  <c r="D57" i="3"/>
  <c r="E57" i="3"/>
  <c r="D58" i="3"/>
  <c r="E58" i="3"/>
  <c r="D59" i="3"/>
  <c r="E59" i="3"/>
  <c r="C57" i="3"/>
  <c r="C58" i="3"/>
  <c r="C59" i="3"/>
  <c r="C56" i="3"/>
  <c r="G49" i="3" l="1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G52" i="3"/>
  <c r="G58" i="3" s="1"/>
  <c r="H52" i="3"/>
  <c r="H58" i="3" s="1"/>
  <c r="F49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G44" i="3"/>
  <c r="H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F43" i="3"/>
  <c r="F44" i="3"/>
  <c r="F45" i="3"/>
  <c r="F46" i="3"/>
  <c r="F42" i="3"/>
  <c r="C36" i="2"/>
  <c r="D36" i="2"/>
  <c r="E36" i="2"/>
  <c r="E41" i="2" s="1"/>
  <c r="F36" i="2"/>
  <c r="F41" i="2" s="1"/>
  <c r="G36" i="2"/>
  <c r="G41" i="2" s="1"/>
  <c r="H36" i="2"/>
  <c r="H41" i="2" s="1"/>
  <c r="I36" i="2"/>
  <c r="I41" i="2" s="1"/>
  <c r="J36" i="2"/>
  <c r="J41" i="2" s="1"/>
  <c r="K36" i="2"/>
  <c r="K41" i="2" s="1"/>
  <c r="L36" i="2"/>
  <c r="L41" i="2" s="1"/>
  <c r="M36" i="2"/>
  <c r="M41" i="2" s="1"/>
  <c r="N36" i="2"/>
  <c r="N41" i="2" s="1"/>
  <c r="O36" i="2"/>
  <c r="O41" i="2" s="1"/>
  <c r="P36" i="2"/>
  <c r="P41" i="2" s="1"/>
  <c r="Q36" i="2"/>
  <c r="Q41" i="2" s="1"/>
  <c r="R36" i="2"/>
  <c r="R41" i="2" s="1"/>
  <c r="S36" i="2"/>
  <c r="S41" i="2" s="1"/>
  <c r="T36" i="2"/>
  <c r="T41" i="2" s="1"/>
  <c r="U36" i="2"/>
  <c r="U41" i="2" s="1"/>
  <c r="V36" i="2"/>
  <c r="V41" i="2" s="1"/>
  <c r="W36" i="2"/>
  <c r="W41" i="2" s="1"/>
  <c r="X36" i="2"/>
  <c r="X41" i="2" s="1"/>
  <c r="Y36" i="2"/>
  <c r="Y41" i="2" s="1"/>
  <c r="Z36" i="2"/>
  <c r="Z41" i="2" s="1"/>
  <c r="AA36" i="2"/>
  <c r="AA41" i="2" s="1"/>
  <c r="AB36" i="2"/>
  <c r="AB41" i="2" s="1"/>
  <c r="AC36" i="2"/>
  <c r="AC41" i="2" s="1"/>
  <c r="AD36" i="2"/>
  <c r="AD41" i="2" s="1"/>
  <c r="AE36" i="2"/>
  <c r="AE41" i="2" s="1"/>
  <c r="AF36" i="2"/>
  <c r="AF41" i="2" s="1"/>
  <c r="AG36" i="2"/>
  <c r="AG41" i="2" s="1"/>
  <c r="AH36" i="2"/>
  <c r="AH41" i="2" s="1"/>
  <c r="AI36" i="2"/>
  <c r="AI41" i="2" s="1"/>
  <c r="AJ36" i="2"/>
  <c r="AJ41" i="2" s="1"/>
  <c r="C37" i="2"/>
  <c r="C42" i="2" s="1"/>
  <c r="D37" i="2"/>
  <c r="D42" i="2" s="1"/>
  <c r="E37" i="2"/>
  <c r="E42" i="2" s="1"/>
  <c r="F37" i="2"/>
  <c r="F42" i="2" s="1"/>
  <c r="G37" i="2"/>
  <c r="G42" i="2" s="1"/>
  <c r="H37" i="2"/>
  <c r="H42" i="2" s="1"/>
  <c r="I37" i="2"/>
  <c r="I42" i="2" s="1"/>
  <c r="J37" i="2"/>
  <c r="J42" i="2" s="1"/>
  <c r="K37" i="2"/>
  <c r="K42" i="2" s="1"/>
  <c r="L37" i="2"/>
  <c r="L42" i="2" s="1"/>
  <c r="M37" i="2"/>
  <c r="M42" i="2" s="1"/>
  <c r="N37" i="2"/>
  <c r="N42" i="2" s="1"/>
  <c r="O37" i="2"/>
  <c r="O42" i="2" s="1"/>
  <c r="P37" i="2"/>
  <c r="P42" i="2" s="1"/>
  <c r="Q37" i="2"/>
  <c r="R37" i="2"/>
  <c r="R42" i="2" s="1"/>
  <c r="S37" i="2"/>
  <c r="S42" i="2" s="1"/>
  <c r="T37" i="2"/>
  <c r="T42" i="2" s="1"/>
  <c r="U37" i="2"/>
  <c r="U42" i="2" s="1"/>
  <c r="V37" i="2"/>
  <c r="V42" i="2" s="1"/>
  <c r="W37" i="2"/>
  <c r="W42" i="2" s="1"/>
  <c r="X37" i="2"/>
  <c r="X42" i="2" s="1"/>
  <c r="Y37" i="2"/>
  <c r="Y42" i="2" s="1"/>
  <c r="Z37" i="2"/>
  <c r="Z42" i="2" s="1"/>
  <c r="AA37" i="2"/>
  <c r="AA42" i="2" s="1"/>
  <c r="AB37" i="2"/>
  <c r="AB42" i="2" s="1"/>
  <c r="AC37" i="2"/>
  <c r="AC42" i="2" s="1"/>
  <c r="AD37" i="2"/>
  <c r="AD42" i="2" s="1"/>
  <c r="AE37" i="2"/>
  <c r="AE42" i="2" s="1"/>
  <c r="AF37" i="2"/>
  <c r="AF42" i="2" s="1"/>
  <c r="AG37" i="2"/>
  <c r="AG42" i="2" s="1"/>
  <c r="AH37" i="2"/>
  <c r="AH42" i="2" s="1"/>
  <c r="AI37" i="2"/>
  <c r="AI42" i="2" s="1"/>
  <c r="AJ37" i="2"/>
  <c r="AJ42" i="2" s="1"/>
  <c r="C38" i="2"/>
  <c r="C43" i="2" s="1"/>
  <c r="D38" i="2"/>
  <c r="E38" i="2"/>
  <c r="E43" i="2" s="1"/>
  <c r="F38" i="2"/>
  <c r="G38" i="2"/>
  <c r="H38" i="2"/>
  <c r="E13" i="9" s="1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D13" i="9" l="1"/>
  <c r="AC13" i="7"/>
  <c r="AC14" i="7" s="1"/>
  <c r="Z13" i="9"/>
  <c r="Y13" i="7"/>
  <c r="Y14" i="7" s="1"/>
  <c r="V13" i="9"/>
  <c r="U13" i="7"/>
  <c r="U14" i="7" s="1"/>
  <c r="R13" i="9"/>
  <c r="Q13" i="7"/>
  <c r="Q14" i="7" s="1"/>
  <c r="N13" i="9"/>
  <c r="M13" i="7"/>
  <c r="M14" i="7" s="1"/>
  <c r="J13" i="9"/>
  <c r="I13" i="7"/>
  <c r="I14" i="7" s="1"/>
  <c r="F13" i="9"/>
  <c r="E13" i="7"/>
  <c r="E14" i="7" s="1"/>
  <c r="AG43" i="2"/>
  <c r="AD12" i="9" s="1"/>
  <c r="Y43" i="2"/>
  <c r="V12" i="9" s="1"/>
  <c r="Q43" i="2"/>
  <c r="N12" i="9" s="1"/>
  <c r="I43" i="2"/>
  <c r="F12" i="9" s="1"/>
  <c r="AG13" i="9"/>
  <c r="AF13" i="7"/>
  <c r="AF14" i="7" s="1"/>
  <c r="AC13" i="9"/>
  <c r="AB13" i="7"/>
  <c r="AB14" i="7" s="1"/>
  <c r="Y13" i="9"/>
  <c r="X13" i="7"/>
  <c r="X14" i="7" s="1"/>
  <c r="U13" i="9"/>
  <c r="T13" i="7"/>
  <c r="T14" i="7" s="1"/>
  <c r="Q13" i="9"/>
  <c r="P13" i="7"/>
  <c r="P14" i="7" s="1"/>
  <c r="M13" i="9"/>
  <c r="L13" i="7"/>
  <c r="L14" i="7" s="1"/>
  <c r="I13" i="9"/>
  <c r="H13" i="7"/>
  <c r="H14" i="7" s="1"/>
  <c r="B38" i="2"/>
  <c r="B36" i="2"/>
  <c r="AF43" i="2"/>
  <c r="AC12" i="9" s="1"/>
  <c r="X43" i="2"/>
  <c r="U12" i="9" s="1"/>
  <c r="P43" i="2"/>
  <c r="M12" i="9" s="1"/>
  <c r="H43" i="2"/>
  <c r="E12" i="9" s="1"/>
  <c r="D41" i="2"/>
  <c r="B41" i="2" s="1"/>
  <c r="AI43" i="2"/>
  <c r="AF12" i="9" s="1"/>
  <c r="AF13" i="9"/>
  <c r="AE13" i="7"/>
  <c r="AE14" i="7" s="1"/>
  <c r="AE43" i="2"/>
  <c r="AB12" i="9" s="1"/>
  <c r="AB13" i="9"/>
  <c r="AA13" i="7"/>
  <c r="AA14" i="7" s="1"/>
  <c r="AA43" i="2"/>
  <c r="X12" i="9" s="1"/>
  <c r="X13" i="9"/>
  <c r="W13" i="7"/>
  <c r="W14" i="7" s="1"/>
  <c r="W43" i="2"/>
  <c r="T12" i="9" s="1"/>
  <c r="T13" i="9"/>
  <c r="S13" i="7"/>
  <c r="S14" i="7" s="1"/>
  <c r="S43" i="2"/>
  <c r="P12" i="9" s="1"/>
  <c r="P13" i="9"/>
  <c r="O13" i="7"/>
  <c r="O14" i="7" s="1"/>
  <c r="O43" i="2"/>
  <c r="L12" i="9" s="1"/>
  <c r="L13" i="9"/>
  <c r="K13" i="7"/>
  <c r="K14" i="7" s="1"/>
  <c r="K43" i="2"/>
  <c r="H12" i="9" s="1"/>
  <c r="H13" i="9"/>
  <c r="G13" i="7"/>
  <c r="G14" i="7" s="1"/>
  <c r="G43" i="2"/>
  <c r="D12" i="9" s="1"/>
  <c r="D13" i="9"/>
  <c r="Q42" i="2"/>
  <c r="I45" i="2" s="1"/>
  <c r="B37" i="2"/>
  <c r="AC43" i="2"/>
  <c r="Z12" i="9" s="1"/>
  <c r="U43" i="2"/>
  <c r="R12" i="9" s="1"/>
  <c r="M43" i="2"/>
  <c r="J12" i="9" s="1"/>
  <c r="AH43" i="2"/>
  <c r="AE12" i="9" s="1"/>
  <c r="AE13" i="9"/>
  <c r="AD13" i="7"/>
  <c r="AD14" i="7" s="1"/>
  <c r="AD43" i="2"/>
  <c r="AA12" i="9" s="1"/>
  <c r="AA13" i="9"/>
  <c r="Z13" i="7"/>
  <c r="Z14" i="7" s="1"/>
  <c r="Z43" i="2"/>
  <c r="W12" i="9" s="1"/>
  <c r="W13" i="9"/>
  <c r="V13" i="7"/>
  <c r="V14" i="7" s="1"/>
  <c r="V43" i="2"/>
  <c r="S12" i="9" s="1"/>
  <c r="S13" i="9"/>
  <c r="R13" i="7"/>
  <c r="R14" i="7" s="1"/>
  <c r="R43" i="2"/>
  <c r="O12" i="9" s="1"/>
  <c r="O13" i="9"/>
  <c r="N13" i="7"/>
  <c r="N14" i="7" s="1"/>
  <c r="N43" i="2"/>
  <c r="K12" i="9" s="1"/>
  <c r="K13" i="9"/>
  <c r="J13" i="7"/>
  <c r="J14" i="7" s="1"/>
  <c r="J43" i="2"/>
  <c r="G12" i="9" s="1"/>
  <c r="G13" i="9"/>
  <c r="F13" i="7"/>
  <c r="F14" i="7" s="1"/>
  <c r="F43" i="2"/>
  <c r="C12" i="9" s="1"/>
  <c r="C13" i="9"/>
  <c r="AJ43" i="2"/>
  <c r="AG12" i="9" s="1"/>
  <c r="AB43" i="2"/>
  <c r="Y12" i="9" s="1"/>
  <c r="T43" i="2"/>
  <c r="Q12" i="9" s="1"/>
  <c r="L43" i="2"/>
  <c r="I12" i="9" s="1"/>
  <c r="D43" i="2"/>
  <c r="C41" i="2"/>
  <c r="J45" i="2" l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F14" i="9"/>
  <c r="J14" i="9"/>
  <c r="N14" i="9"/>
  <c r="R14" i="9"/>
  <c r="V14" i="9"/>
  <c r="Z14" i="9"/>
  <c r="AD14" i="9"/>
  <c r="C14" i="9"/>
  <c r="B43" i="2"/>
  <c r="G14" i="9"/>
  <c r="K14" i="9"/>
  <c r="O14" i="9"/>
  <c r="S14" i="9"/>
  <c r="W14" i="9"/>
  <c r="AA14" i="9"/>
  <c r="AE14" i="9"/>
  <c r="D14" i="9"/>
  <c r="H14" i="9"/>
  <c r="L14" i="9"/>
  <c r="P14" i="9"/>
  <c r="T14" i="9"/>
  <c r="X14" i="9"/>
  <c r="AB14" i="9"/>
  <c r="M14" i="9"/>
  <c r="AC14" i="9"/>
  <c r="Q14" i="9"/>
  <c r="AF14" i="9"/>
  <c r="E14" i="9"/>
  <c r="U14" i="9"/>
  <c r="AG14" i="9"/>
  <c r="I14" i="9"/>
  <c r="Y14" i="9"/>
  <c r="B42" i="2"/>
  <c r="B45" i="2" l="1"/>
  <c r="W56" i="3"/>
  <c r="U9" i="9"/>
  <c r="AC53" i="3"/>
  <c r="Z9" i="9" s="1"/>
  <c r="S59" i="3"/>
  <c r="R59" i="3"/>
  <c r="AD57" i="3"/>
  <c r="AF9" i="9"/>
  <c r="J52" i="3"/>
  <c r="J58" i="3" s="1"/>
  <c r="AD51" i="3"/>
  <c r="Q53" i="3"/>
  <c r="N9" i="9" s="1"/>
  <c r="L59" i="3"/>
  <c r="M51" i="3"/>
  <c r="M57" i="3" s="1"/>
  <c r="P56" i="3"/>
  <c r="AJ53" i="3"/>
  <c r="AJ59" i="3" s="1"/>
  <c r="E9" i="9"/>
  <c r="H53" i="3"/>
  <c r="H59" i="3"/>
  <c r="V53" i="3"/>
  <c r="S9" i="9" s="1"/>
  <c r="V59" i="3"/>
  <c r="I51" i="3"/>
  <c r="I57" i="3" s="1"/>
  <c r="AI51" i="3"/>
  <c r="AI57" i="3" s="1"/>
  <c r="Y53" i="3"/>
  <c r="V9" i="9" s="1"/>
  <c r="Y9" i="9"/>
  <c r="AA9" i="9"/>
  <c r="P53" i="3"/>
  <c r="P59" i="3" s="1"/>
  <c r="AH53" i="3"/>
  <c r="AE9" i="9" s="1"/>
  <c r="AE53" i="3"/>
  <c r="AB9" i="9" s="1"/>
  <c r="AA56" i="3"/>
  <c r="N51" i="3"/>
  <c r="N57" i="3" s="1"/>
  <c r="AH52" i="3"/>
  <c r="AH58" i="3" s="1"/>
  <c r="M53" i="3"/>
  <c r="J9" i="9" s="1"/>
  <c r="S53" i="3"/>
  <c r="P9" i="9" s="1"/>
  <c r="U51" i="3"/>
  <c r="U57" i="3" s="1"/>
  <c r="AE52" i="3"/>
  <c r="AE58" i="3" s="1"/>
  <c r="I52" i="3"/>
  <c r="I58" i="3" s="1"/>
  <c r="U53" i="3"/>
  <c r="R9" i="9" s="1"/>
  <c r="K51" i="3"/>
  <c r="K57" i="3" s="1"/>
  <c r="AF53" i="3"/>
  <c r="AF59" i="3" s="1"/>
  <c r="F51" i="3"/>
  <c r="F53" i="3"/>
  <c r="C9" i="9" s="1"/>
  <c r="F50" i="3"/>
  <c r="F56" i="3" s="1"/>
  <c r="F52" i="3"/>
  <c r="F58" i="3"/>
  <c r="W52" i="3"/>
  <c r="W58" i="3" s="1"/>
  <c r="AC51" i="3"/>
  <c r="AC57" i="3" s="1"/>
  <c r="I50" i="3"/>
  <c r="I56" i="3" s="1"/>
  <c r="I53" i="3"/>
  <c r="F9" i="9" s="1"/>
  <c r="X53" i="3"/>
  <c r="X59" i="3" s="1"/>
  <c r="H51" i="3"/>
  <c r="H57" i="3" s="1"/>
  <c r="AF57" i="3"/>
  <c r="T51" i="3"/>
  <c r="T57" i="3"/>
  <c r="Y51" i="3"/>
  <c r="Y57" i="3" s="1"/>
  <c r="O53" i="3"/>
  <c r="O59" i="3" s="1"/>
  <c r="AF51" i="3"/>
  <c r="AG52" i="3"/>
  <c r="AG58" i="3" s="1"/>
  <c r="K52" i="3"/>
  <c r="K58" i="3" s="1"/>
  <c r="O51" i="3"/>
  <c r="O57" i="3" s="1"/>
  <c r="AF50" i="3"/>
  <c r="AF56" i="3" s="1"/>
  <c r="AF52" i="3"/>
  <c r="AF58" i="3" s="1"/>
  <c r="AB52" i="3"/>
  <c r="AB58" i="3" s="1"/>
  <c r="AB51" i="3"/>
  <c r="AB57" i="3" s="1"/>
  <c r="T52" i="3"/>
  <c r="T58" i="3" s="1"/>
  <c r="S51" i="3"/>
  <c r="S57" i="3" s="1"/>
  <c r="G53" i="3"/>
  <c r="G59" i="3" s="1"/>
  <c r="L51" i="3"/>
  <c r="L57" i="3" s="1"/>
  <c r="AE57" i="3"/>
  <c r="Y52" i="3"/>
  <c r="Y58" i="3"/>
  <c r="W51" i="3"/>
  <c r="W57" i="3" s="1"/>
  <c r="R51" i="3"/>
  <c r="R57" i="3" s="1"/>
  <c r="AD52" i="3"/>
  <c r="AD58" i="3" s="1"/>
  <c r="W50" i="3"/>
  <c r="W53" i="3"/>
  <c r="W59" i="3" s="1"/>
  <c r="K53" i="3"/>
  <c r="K59" i="3" s="1"/>
  <c r="S52" i="3"/>
  <c r="S58" i="3" s="1"/>
  <c r="AA52" i="3"/>
  <c r="AA58" i="3" s="1"/>
  <c r="Q51" i="3"/>
  <c r="Q57" i="3" s="1"/>
  <c r="L52" i="3"/>
  <c r="L58" i="3" s="1"/>
  <c r="M52" i="3"/>
  <c r="M58" i="3" s="1"/>
  <c r="AE51" i="3"/>
  <c r="K50" i="3"/>
  <c r="K56" i="3" s="1"/>
  <c r="AI52" i="3"/>
  <c r="AI58" i="3" s="1"/>
  <c r="Y50" i="3"/>
  <c r="Y56" i="3" s="1"/>
  <c r="AI53" i="3"/>
  <c r="AI59" i="3" s="1"/>
  <c r="AG53" i="3"/>
  <c r="AG59" i="3" s="1"/>
  <c r="X52" i="3"/>
  <c r="X58" i="3" s="1"/>
  <c r="S50" i="3"/>
  <c r="S56" i="3" s="1"/>
  <c r="J51" i="3"/>
  <c r="J57" i="3" s="1"/>
  <c r="Q52" i="3"/>
  <c r="Q58" i="3" s="1"/>
  <c r="Z53" i="3"/>
  <c r="Z59" i="3" s="1"/>
  <c r="AB50" i="3"/>
  <c r="AB56" i="3" s="1"/>
  <c r="AB53" i="3"/>
  <c r="AB59" i="3" s="1"/>
  <c r="AJ52" i="3"/>
  <c r="AJ58" i="3" s="1"/>
  <c r="AE50" i="3"/>
  <c r="AE56" i="3" s="1"/>
  <c r="X50" i="3"/>
  <c r="X56" i="3" s="1"/>
  <c r="X51" i="3"/>
  <c r="X57" i="3" s="1"/>
  <c r="O50" i="3"/>
  <c r="O56" i="3" s="1"/>
  <c r="O52" i="3"/>
  <c r="O58" i="3" s="1"/>
  <c r="P52" i="3"/>
  <c r="P58" i="3" s="1"/>
  <c r="AG50" i="3"/>
  <c r="AG56" i="3" s="1"/>
  <c r="AG51" i="3"/>
  <c r="AG57" i="3" s="1"/>
  <c r="Z52" i="3"/>
  <c r="Z58" i="3" s="1"/>
  <c r="P50" i="3"/>
  <c r="P51" i="3"/>
  <c r="P57" i="3" s="1"/>
  <c r="V51" i="3"/>
  <c r="V57" i="3" s="1"/>
  <c r="N53" i="3"/>
  <c r="N59" i="3" s="1"/>
  <c r="G50" i="3"/>
  <c r="G56" i="3" s="1"/>
  <c r="G51" i="3"/>
  <c r="G57" i="3" s="1"/>
  <c r="R52" i="3"/>
  <c r="R58" i="3" s="1"/>
  <c r="T50" i="3"/>
  <c r="T56" i="3" s="1"/>
  <c r="T53" i="3"/>
  <c r="Q9" i="9" s="1"/>
  <c r="AD50" i="3"/>
  <c r="AD56" i="3" s="1"/>
  <c r="AD53" i="3"/>
  <c r="AD59" i="3" s="1"/>
  <c r="AA53" i="3"/>
  <c r="AA59" i="3" s="1"/>
  <c r="AJ50" i="3"/>
  <c r="AJ56" i="3" s="1"/>
  <c r="AJ51" i="3"/>
  <c r="AJ57" i="3" s="1"/>
  <c r="AA50" i="3"/>
  <c r="AA51" i="3"/>
  <c r="AA57" i="3" s="1"/>
  <c r="R50" i="3"/>
  <c r="R56" i="3" s="1"/>
  <c r="R53" i="3"/>
  <c r="O9" i="9" s="1"/>
  <c r="H50" i="3"/>
  <c r="H56" i="3" s="1"/>
  <c r="U50" i="3"/>
  <c r="U56" i="3" s="1"/>
  <c r="U52" i="3"/>
  <c r="U58" i="3" s="1"/>
  <c r="AH50" i="3"/>
  <c r="AH56" i="3" s="1"/>
  <c r="AH51" i="3"/>
  <c r="AH57" i="3" s="1"/>
  <c r="L50" i="3"/>
  <c r="L56" i="3" s="1"/>
  <c r="L53" i="3"/>
  <c r="I9" i="9" s="1"/>
  <c r="Z50" i="3"/>
  <c r="Z56" i="3" s="1"/>
  <c r="Z51" i="3"/>
  <c r="Z57" i="3"/>
  <c r="N50" i="3"/>
  <c r="N56" i="3" s="1"/>
  <c r="N52" i="3"/>
  <c r="N58" i="3" s="1"/>
  <c r="M50" i="3"/>
  <c r="M56" i="3" s="1"/>
  <c r="J50" i="3"/>
  <c r="J56" i="3" s="1"/>
  <c r="J53" i="3"/>
  <c r="G9" i="9" s="1"/>
  <c r="V52" i="3"/>
  <c r="V58" i="3" s="1"/>
  <c r="V50" i="3"/>
  <c r="V56" i="3" s="1"/>
  <c r="AC50" i="3"/>
  <c r="AC56" i="3" s="1"/>
  <c r="AC52" i="3"/>
  <c r="AC58" i="3" s="1"/>
  <c r="AI50" i="3"/>
  <c r="AI56" i="3" s="1"/>
  <c r="Q50" i="3"/>
  <c r="Q56" i="3" s="1"/>
  <c r="L9" i="9" l="1"/>
  <c r="K9" i="9"/>
  <c r="M9" i="9"/>
  <c r="T59" i="3"/>
  <c r="AG9" i="9"/>
  <c r="H9" i="9"/>
  <c r="AH59" i="3"/>
  <c r="T9" i="9"/>
  <c r="X9" i="9"/>
  <c r="J59" i="3"/>
  <c r="Q59" i="3"/>
  <c r="Y59" i="3"/>
  <c r="AE59" i="3"/>
  <c r="I59" i="3"/>
  <c r="B56" i="3"/>
  <c r="B58" i="3"/>
  <c r="B52" i="3"/>
  <c r="B11" i="8" s="1"/>
  <c r="W9" i="9"/>
  <c r="B51" i="3"/>
  <c r="B10" i="8" s="1"/>
  <c r="F57" i="3"/>
  <c r="B57" i="3" s="1"/>
  <c r="B50" i="3"/>
  <c r="B9" i="8" s="1"/>
  <c r="F59" i="3"/>
  <c r="B53" i="3"/>
  <c r="B12" i="8" s="1"/>
  <c r="D9" i="9"/>
  <c r="M59" i="3"/>
  <c r="AC9" i="9"/>
  <c r="AD9" i="9"/>
  <c r="U59" i="3"/>
  <c r="AC59" i="3"/>
  <c r="R11" i="9" l="1"/>
  <c r="AF11" i="9"/>
  <c r="X11" i="9"/>
  <c r="K11" i="9"/>
  <c r="H11" i="9"/>
  <c r="V11" i="9"/>
  <c r="Z11" i="9"/>
  <c r="T11" i="9"/>
  <c r="M11" i="9"/>
  <c r="I11" i="9"/>
  <c r="D11" i="9"/>
  <c r="E11" i="9"/>
  <c r="W11" i="9"/>
  <c r="Q11" i="9"/>
  <c r="AA11" i="9"/>
  <c r="L11" i="9"/>
  <c r="AC11" i="9"/>
  <c r="AD11" i="9"/>
  <c r="AE11" i="9"/>
  <c r="J11" i="9"/>
  <c r="AG11" i="9"/>
  <c r="P11" i="9"/>
  <c r="S11" i="9"/>
  <c r="N11" i="9"/>
  <c r="O11" i="9"/>
  <c r="C11" i="9"/>
  <c r="B59" i="3"/>
  <c r="G11" i="9"/>
  <c r="F11" i="9"/>
  <c r="Y11" i="9"/>
  <c r="U11" i="9"/>
  <c r="AB11" i="9"/>
  <c r="D10" i="8"/>
  <c r="B10" i="5"/>
  <c r="B11" i="5"/>
  <c r="D11" i="8"/>
  <c r="B9" i="5"/>
  <c r="D9" i="8"/>
  <c r="B12" i="5" l="1"/>
  <c r="D12" i="8"/>
</calcChain>
</file>

<file path=xl/sharedStrings.xml><?xml version="1.0" encoding="utf-8"?>
<sst xmlns="http://schemas.openxmlformats.org/spreadsheetml/2006/main" count="277" uniqueCount="140">
  <si>
    <t>Hodnota za peniaze projektu</t>
  </si>
  <si>
    <t>Nová nemocnica v Bratislave</t>
  </si>
  <si>
    <t>Podkladové dáta pre stanovisko MF SR</t>
  </si>
  <si>
    <t>Finančná analýza novej UNB</t>
  </si>
  <si>
    <t>Finančná analýza celého projektu</t>
  </si>
  <si>
    <t>Náklady na rekonštrukciu slovenských nemocníc</t>
  </si>
  <si>
    <t>Nová UNB = nová nemocnica na Rázsochách a rekonštruovaný Ružinov</t>
  </si>
  <si>
    <t>Celý projekt = rekonštrukcie a optimalizácia súčasnej UNB (Kramáre, Ružinov, Staré mesto, Podunajské Biskupice, Petržalka), vrátane výstavby novej nemocnice</t>
  </si>
  <si>
    <t>Podľa komentáru IFP z roku 2015</t>
  </si>
  <si>
    <t>Výnosy</t>
  </si>
  <si>
    <t>Štátny manažment</t>
  </si>
  <si>
    <t>PPP</t>
  </si>
  <si>
    <t>Hybridný manažment</t>
  </si>
  <si>
    <t>Prevádzkové náklady</t>
  </si>
  <si>
    <t>Investičné náklady</t>
  </si>
  <si>
    <t>Dlhová služba</t>
  </si>
  <si>
    <t>Dividenda súkromného partnera</t>
  </si>
  <si>
    <t>Prevádzkový zisk (EBIDTA)</t>
  </si>
  <si>
    <t>Čistý cashflow</t>
  </si>
  <si>
    <t>Scenár bez zmien</t>
  </si>
  <si>
    <t>Rekonštrukcia a optimalizácia</t>
  </si>
  <si>
    <t>Nová nemocnica, Štátny manažment</t>
  </si>
  <si>
    <t>Nová nemocnica, PPP</t>
  </si>
  <si>
    <t>Nová nemocnica, Hybridný manažment</t>
  </si>
  <si>
    <t>Výstavba novej UNB</t>
  </si>
  <si>
    <t>Začiatok prevádzky</t>
  </si>
  <si>
    <t>Čistá súčasná hodnota</t>
  </si>
  <si>
    <t>späť na obsah</t>
  </si>
  <si>
    <t>Nemocnica Jesenius Šamorín</t>
  </si>
  <si>
    <t>Žilpo Žilina Nemocnica</t>
  </si>
  <si>
    <t>Nemocnica Prešov</t>
  </si>
  <si>
    <t>Univerzitná Nemocnica Martin (výstavba nového pavilónu)</t>
  </si>
  <si>
    <t>Nemocnica s poliklinikou Brezno</t>
  </si>
  <si>
    <t>Nemocnica Poprad</t>
  </si>
  <si>
    <t>Nemocnica Lučenec</t>
  </si>
  <si>
    <t>Cena (eur)</t>
  </si>
  <si>
    <t>Rekonštruovaná plocha (m2)</t>
  </si>
  <si>
    <t>Jednotková cena eur/m2</t>
  </si>
  <si>
    <t>Zdroj: komentár IFP, 2015</t>
  </si>
  <si>
    <t>Čistý cashflow oproti scenáru bez zmien</t>
  </si>
  <si>
    <t>Graf 1 a 3</t>
  </si>
  <si>
    <t>Finančná čistá súčasná hodnota alternatív novej koncepcie UNB</t>
  </si>
  <si>
    <t>Alternatíva</t>
  </si>
  <si>
    <t>NPV</t>
  </si>
  <si>
    <t>Graf 2</t>
  </si>
  <si>
    <t>Demografická prognóza pre bratislavský región a Slovensko, zmena oproti 2015</t>
  </si>
  <si>
    <t>Bratislavský región</t>
  </si>
  <si>
    <t>Slovensko</t>
  </si>
  <si>
    <t>Koncepcia UNB (infostat)</t>
  </si>
  <si>
    <t>Eurostat</t>
  </si>
  <si>
    <t>Zdroj</t>
  </si>
  <si>
    <t>Veková skupina</t>
  </si>
  <si>
    <t>0-14</t>
  </si>
  <si>
    <t>15-64</t>
  </si>
  <si>
    <t>nad 65</t>
  </si>
  <si>
    <t>Prognóza</t>
  </si>
  <si>
    <t>Graf 4 a 9</t>
  </si>
  <si>
    <t>Prevádzkový zisk alternatív intervencie a novej UNB</t>
  </si>
  <si>
    <t>Nová nemocnica, iba nová UNB</t>
  </si>
  <si>
    <t>Nová nemocnica, ostatné partnerské nemocnice</t>
  </si>
  <si>
    <t>Graf 6 a 8</t>
  </si>
  <si>
    <t>Cashflow, prevádzkový zisk a návratnosť navrhovaného riešenia</t>
  </si>
  <si>
    <t>Celý projekt</t>
  </si>
  <si>
    <t>Cashflow</t>
  </si>
  <si>
    <t>EBITDA</t>
  </si>
  <si>
    <t>Kumulatívna NPV</t>
  </si>
  <si>
    <t>Nová UNB</t>
  </si>
  <si>
    <t>Graf 7</t>
  </si>
  <si>
    <t>NPV oproti nule</t>
  </si>
  <si>
    <t>NPV oproti nule podľa MZ SR</t>
  </si>
  <si>
    <t>NPV oproti scenáru bez zmien</t>
  </si>
  <si>
    <t>Graf 10</t>
  </si>
  <si>
    <t>Čistá súčasná hodnota alternatív v závislosti od zhoršenia prevádzkového zisku</t>
  </si>
  <si>
    <t>Nová UNB (hybrid)</t>
  </si>
  <si>
    <t>Nová UNB (PPP)</t>
  </si>
  <si>
    <t>Nová UNB (štát)</t>
  </si>
  <si>
    <t>Optimalizácia a rekonštrukcia</t>
  </si>
  <si>
    <t>Zhoršenie prevádzkového zisku o</t>
  </si>
  <si>
    <t>Graf 11</t>
  </si>
  <si>
    <t>Čistá súčasná hodnota alternatív v závislosti od predraženia vstupných nákladov</t>
  </si>
  <si>
    <t>Predraženie investície</t>
  </si>
  <si>
    <t>Graf 12</t>
  </si>
  <si>
    <t>Čistá súčasná hodnota alternatív v závislosti od diskontnej sadzby</t>
  </si>
  <si>
    <t>Diskontná sadzba</t>
  </si>
  <si>
    <t>Financovanie súkromného partnera</t>
  </si>
  <si>
    <t>Vlastný kapitál</t>
  </si>
  <si>
    <t>Dlhové financovanie</t>
  </si>
  <si>
    <t>Čistá podlahová plocha nemocnice</t>
  </si>
  <si>
    <t>Čistá podlahová plocha, pri ktorej sa aplikuje 183 %</t>
  </si>
  <si>
    <t>Čistá podlahová plocha, pri ktorej sa aplikuje 130 %</t>
  </si>
  <si>
    <t>Hrubá podlahová plocha nemocnice</t>
  </si>
  <si>
    <t>Hrubá podlahová plocha, pri ktorej sa aplikuje 183 %</t>
  </si>
  <si>
    <t>Hrubá podlahová plocha, pri ktorej sa aplikuje 130 %</t>
  </si>
  <si>
    <t>Plocha</t>
  </si>
  <si>
    <t>Cena/m2</t>
  </si>
  <si>
    <t>Cena (s DPH)</t>
  </si>
  <si>
    <t>Plocha pri 160 % podieli</t>
  </si>
  <si>
    <t>Rozdiel</t>
  </si>
  <si>
    <t>Podiel pôvodnej ceny</t>
  </si>
  <si>
    <t>Cena budovy bez DPH</t>
  </si>
  <si>
    <t>Odhad úspory</t>
  </si>
  <si>
    <t>Odhad úspor pri zmene podlahovej plochy</t>
  </si>
  <si>
    <t>Pri predpoklade pomeru GFA/NFA = 160%</t>
  </si>
  <si>
    <t>https://www.finance.gov.sk/Default.aspx?CatID=10545</t>
  </si>
  <si>
    <t>Potrebná platba za dostupnosť pre PPP partnera</t>
  </si>
  <si>
    <t>Náklady na výstavbu nemocníc</t>
  </si>
  <si>
    <t>Celkové kapitálové výdavky (v mil. eur)</t>
  </si>
  <si>
    <t>Hrubá podlahová plocha</t>
  </si>
  <si>
    <t>Počet lôžok</t>
  </si>
  <si>
    <t>60 000 m2</t>
  </si>
  <si>
    <t>1 000 080 m2</t>
  </si>
  <si>
    <t>250 000  m2</t>
  </si>
  <si>
    <t>18 000 m2</t>
  </si>
  <si>
    <t>180 000 m2</t>
  </si>
  <si>
    <t>25 000 m2</t>
  </si>
  <si>
    <t>61 660 m2</t>
  </si>
  <si>
    <t>40 000 m2</t>
  </si>
  <si>
    <t>240 000 m2</t>
  </si>
  <si>
    <t>80 000 m2</t>
  </si>
  <si>
    <t>16 000 m2</t>
  </si>
  <si>
    <t>255 300 m2</t>
  </si>
  <si>
    <t>94 000 m2</t>
  </si>
  <si>
    <t>21 190 m2</t>
  </si>
  <si>
    <t>Cena eur/m2</t>
  </si>
  <si>
    <t>DUMFRIES &amp; GALLOWAY ROYAL INFIRMARY</t>
  </si>
  <si>
    <t>ETLIK INTEGRATED HEALTH CAMPUS (11 HOSPITAL BUILDlNGS+HOTEL)</t>
  </si>
  <si>
    <t>ADANA INTEGRATED HEALTH CAMPUS PROJECT (6 HOSPITALS)</t>
  </si>
  <si>
    <t>ŻYWIEC HOSPITAL</t>
  </si>
  <si>
    <t>ISPARTA CITY HOSPITAL PPP</t>
  </si>
  <si>
    <t>DUNA MEDICAL CENTER</t>
  </si>
  <si>
    <t>NEW PROVINCIAL HOSPITAL IN VÖCKLABRUCK</t>
  </si>
  <si>
    <t>NEW PAPWORTH HOSPITAL</t>
  </si>
  <si>
    <t>VIENNA NORTH HOSPITAL</t>
  </si>
  <si>
    <t>MIDLAND METROPOLITAN HOSPITAL PROJECT</t>
  </si>
  <si>
    <t>THE NEW BUILDING AT SLAGELSE HOSPITAL</t>
  </si>
  <si>
    <t>UNIVERSITY KLINIKUM OF SCHLESWIG-HOLSTEIN MODERNIZATION</t>
  </si>
  <si>
    <t>VIGO UNIVERSITY HOSPITAL PPP</t>
  </si>
  <si>
    <t>ROYAL LIVERPOOL HOSPITAL PFI</t>
  </si>
  <si>
    <t>NOVÁ NEMOCNICA SV. MICHALA (VOJENSKÁ NEMOCNICA)</t>
  </si>
  <si>
    <t>Náklady na rekonštrukciu a výstavbu nemocníc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</si>
</sst>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0.0%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i/>
      <sz val="11"/>
      <color theme="1"/>
      <name val="Arial Narrow"/>
      <family val="2"/>
      <charset val="238"/>
    </font>
    <font>
      <b/>
      <i/>
      <sz val="11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i/>
      <sz val="10"/>
      <color theme="1"/>
      <name val="Arial Narrow"/>
      <family val="2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Arial Narrow"/>
      <family val="2"/>
      <charset val="238"/>
    </font>
    <font>
      <u/>
      <sz val="10"/>
      <color theme="10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Fill="0" applyBorder="0">
      <alignment horizontal="left" vertical="top" wrapText="1"/>
    </xf>
    <xf numFmtId="9" fontId="1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3" fontId="1" fillId="0" borderId="0" xfId="0" applyNumberFormat="1" applyFont="1"/>
    <xf numFmtId="0" fontId="4" fillId="0" borderId="0" xfId="0" applyFont="1"/>
    <xf numFmtId="0" fontId="2" fillId="0" borderId="1" xfId="0" applyFont="1" applyBorder="1"/>
    <xf numFmtId="0" fontId="1" fillId="0" borderId="1" xfId="0" applyFont="1" applyBorder="1"/>
    <xf numFmtId="3" fontId="1" fillId="0" borderId="1" xfId="0" applyNumberFormat="1" applyFont="1" applyBorder="1"/>
    <xf numFmtId="0" fontId="2" fillId="0" borderId="2" xfId="0" applyFont="1" applyBorder="1"/>
    <xf numFmtId="0" fontId="2" fillId="4" borderId="2" xfId="0" applyFont="1" applyFill="1" applyBorder="1"/>
    <xf numFmtId="0" fontId="2" fillId="2" borderId="2" xfId="0" applyFont="1" applyFill="1" applyBorder="1"/>
    <xf numFmtId="0" fontId="1" fillId="3" borderId="0" xfId="0" applyFont="1" applyFill="1"/>
    <xf numFmtId="3" fontId="1" fillId="3" borderId="0" xfId="0" applyNumberFormat="1" applyFont="1" applyFill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5" fillId="3" borderId="0" xfId="0" applyFont="1" applyFill="1"/>
    <xf numFmtId="3" fontId="5" fillId="3" borderId="0" xfId="0" applyNumberFormat="1" applyFont="1" applyFill="1"/>
    <xf numFmtId="3" fontId="2" fillId="0" borderId="0" xfId="0" applyNumberFormat="1" applyFont="1"/>
    <xf numFmtId="3" fontId="2" fillId="0" borderId="1" xfId="0" applyNumberFormat="1" applyFont="1" applyBorder="1"/>
    <xf numFmtId="6" fontId="2" fillId="0" borderId="0" xfId="0" applyNumberFormat="1" applyFont="1"/>
    <xf numFmtId="6" fontId="2" fillId="0" borderId="1" xfId="0" applyNumberFormat="1" applyFont="1" applyBorder="1"/>
    <xf numFmtId="6" fontId="5" fillId="0" borderId="0" xfId="0" applyNumberFormat="1" applyFont="1"/>
    <xf numFmtId="6" fontId="5" fillId="3" borderId="0" xfId="0" applyNumberFormat="1" applyFont="1" applyFill="1"/>
    <xf numFmtId="6" fontId="6" fillId="0" borderId="0" xfId="0" applyNumberFormat="1" applyFont="1"/>
    <xf numFmtId="6" fontId="3" fillId="0" borderId="0" xfId="0" applyNumberFormat="1" applyFont="1"/>
    <xf numFmtId="6" fontId="1" fillId="0" borderId="0" xfId="0" applyNumberFormat="1" applyFont="1"/>
    <xf numFmtId="6" fontId="1" fillId="3" borderId="0" xfId="0" applyNumberFormat="1" applyFont="1" applyFill="1"/>
    <xf numFmtId="6" fontId="4" fillId="0" borderId="0" xfId="0" applyNumberFormat="1" applyFont="1"/>
    <xf numFmtId="0" fontId="8" fillId="0" borderId="0" xfId="1" applyFont="1"/>
    <xf numFmtId="0" fontId="9" fillId="0" borderId="0" xfId="1" applyFont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Border="1"/>
    <xf numFmtId="6" fontId="2" fillId="0" borderId="0" xfId="0" applyNumberFormat="1" applyFont="1" applyBorder="1"/>
    <xf numFmtId="3" fontId="2" fillId="0" borderId="0" xfId="0" applyNumberFormat="1" applyFont="1" applyBorder="1"/>
    <xf numFmtId="6" fontId="1" fillId="0" borderId="1" xfId="0" applyNumberFormat="1" applyFont="1" applyBorder="1"/>
    <xf numFmtId="9" fontId="1" fillId="0" borderId="0" xfId="2" applyFont="1"/>
    <xf numFmtId="0" fontId="1" fillId="0" borderId="2" xfId="0" applyFont="1" applyBorder="1"/>
    <xf numFmtId="9" fontId="1" fillId="0" borderId="1" xfId="2" applyFont="1" applyBorder="1"/>
    <xf numFmtId="0" fontId="3" fillId="0" borderId="1" xfId="0" applyFont="1" applyBorder="1"/>
    <xf numFmtId="8" fontId="1" fillId="0" borderId="0" xfId="0" applyNumberFormat="1" applyFont="1"/>
    <xf numFmtId="8" fontId="1" fillId="0" borderId="1" xfId="0" applyNumberFormat="1" applyFont="1" applyBorder="1"/>
    <xf numFmtId="0" fontId="2" fillId="0" borderId="2" xfId="0" applyFont="1" applyBorder="1" applyAlignment="1">
      <alignment horizontal="right"/>
    </xf>
    <xf numFmtId="9" fontId="1" fillId="0" borderId="0" xfId="2" applyFont="1" applyBorder="1"/>
    <xf numFmtId="6" fontId="1" fillId="0" borderId="0" xfId="0" applyNumberFormat="1" applyFont="1" applyBorder="1"/>
    <xf numFmtId="164" fontId="1" fillId="0" borderId="0" xfId="2" applyNumberFormat="1" applyFont="1"/>
    <xf numFmtId="164" fontId="1" fillId="0" borderId="0" xfId="2" applyNumberFormat="1" applyFont="1" applyBorder="1"/>
    <xf numFmtId="164" fontId="1" fillId="0" borderId="1" xfId="2" applyNumberFormat="1" applyFont="1" applyBorder="1"/>
    <xf numFmtId="9" fontId="3" fillId="0" borderId="0" xfId="0" applyNumberFormat="1" applyFont="1"/>
    <xf numFmtId="6" fontId="5" fillId="0" borderId="0" xfId="0" applyNumberFormat="1" applyFont="1" applyAlignment="1">
      <alignment horizontal="right"/>
    </xf>
    <xf numFmtId="0" fontId="2" fillId="0" borderId="3" xfId="0" applyFont="1" applyBorder="1"/>
    <xf numFmtId="3" fontId="1" fillId="0" borderId="3" xfId="0" applyNumberFormat="1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8" fillId="0" borderId="0" xfId="1" applyFont="1" applyAlignment="1">
      <alignment horizontal="right"/>
    </xf>
  </cellXfs>
  <cellStyles count="5">
    <cellStyle name="EYtext" xfId="3"/>
    <cellStyle name="Hypertextové prepojenie" xfId="1" builtinId="8"/>
    <cellStyle name="Normálne" xfId="0" builtinId="0"/>
    <cellStyle name="Percentá" xfId="2" builtinId="5"/>
    <cellStyle name="Percentá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ance.gov.sk/Default.aspx?CatID=10545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nance.gov.sk/Default.aspx?CatID=10545" TargetMode="External"/><Relationship Id="rId1" Type="http://schemas.openxmlformats.org/officeDocument/2006/relationships/hyperlink" Target="https://www.finance.gov.sk/Default.aspx?CatID=10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defaultRowHeight="16.5" x14ac:dyDescent="0.3"/>
  <cols>
    <col min="1" max="1" width="40.140625" style="1" customWidth="1"/>
    <col min="2" max="16384" width="9.140625" style="1"/>
  </cols>
  <sheetData>
    <row r="1" spans="1:5" x14ac:dyDescent="0.3">
      <c r="A1" s="1" t="s">
        <v>0</v>
      </c>
    </row>
    <row r="2" spans="1:5" x14ac:dyDescent="0.3">
      <c r="A2" s="2" t="s">
        <v>1</v>
      </c>
    </row>
    <row r="3" spans="1:5" x14ac:dyDescent="0.3">
      <c r="A3" s="4">
        <v>42828</v>
      </c>
    </row>
    <row r="5" spans="1:5" x14ac:dyDescent="0.3">
      <c r="A5" s="2" t="s">
        <v>2</v>
      </c>
    </row>
    <row r="6" spans="1:5" x14ac:dyDescent="0.3">
      <c r="A6" s="31" t="s">
        <v>3</v>
      </c>
      <c r="B6" s="3" t="s">
        <v>6</v>
      </c>
    </row>
    <row r="7" spans="1:5" x14ac:dyDescent="0.3">
      <c r="A7" s="31" t="s">
        <v>4</v>
      </c>
      <c r="B7" s="3" t="s">
        <v>7</v>
      </c>
    </row>
    <row r="8" spans="1:5" x14ac:dyDescent="0.3">
      <c r="A8" s="31" t="s">
        <v>40</v>
      </c>
      <c r="B8" s="3" t="str">
        <f>novaUNB_graf1_3!A6</f>
        <v>Finančná čistá súčasná hodnota alternatív novej koncepcie UNB</v>
      </c>
    </row>
    <row r="9" spans="1:5" x14ac:dyDescent="0.3">
      <c r="A9" s="31" t="s">
        <v>44</v>
      </c>
      <c r="B9" s="3" t="str">
        <f>novaUNB_graf2!A6</f>
        <v>Demografická prognóza pre bratislavský región a Slovensko, zmena oproti 2015</v>
      </c>
    </row>
    <row r="10" spans="1:5" x14ac:dyDescent="0.3">
      <c r="A10" s="31" t="s">
        <v>56</v>
      </c>
      <c r="B10" s="3" t="str">
        <f>novaUNB_graf4_9!A6</f>
        <v>Prevádzkový zisk alternatív intervencie a novej UNB</v>
      </c>
    </row>
    <row r="11" spans="1:5" x14ac:dyDescent="0.3">
      <c r="A11" s="31" t="s">
        <v>60</v>
      </c>
      <c r="B11" s="3" t="str">
        <f>novaUNB_graf6_8!A6</f>
        <v>Cashflow, prevádzkový zisk a návratnosť navrhovaného riešenia</v>
      </c>
    </row>
    <row r="12" spans="1:5" x14ac:dyDescent="0.3">
      <c r="A12" s="31" t="s">
        <v>67</v>
      </c>
      <c r="B12" s="3" t="str">
        <f>novaUNB_graf7!A6</f>
        <v>Finančná čistá súčasná hodnota alternatív novej koncepcie UNB</v>
      </c>
    </row>
    <row r="13" spans="1:5" x14ac:dyDescent="0.3">
      <c r="A13" s="31" t="s">
        <v>71</v>
      </c>
      <c r="B13" s="3" t="str">
        <f>novaUNB_graf_10!A6</f>
        <v>Čistá súčasná hodnota alternatív v závislosti od zhoršenia prevádzkového zisku</v>
      </c>
    </row>
    <row r="14" spans="1:5" x14ac:dyDescent="0.3">
      <c r="A14" s="31" t="s">
        <v>78</v>
      </c>
      <c r="B14" s="51" t="str">
        <f>novaUNB_graf_11!A6</f>
        <v>Čistá súčasná hodnota alternatív v závislosti od predraženia vstupných nákladov</v>
      </c>
    </row>
    <row r="15" spans="1:5" x14ac:dyDescent="0.3">
      <c r="A15" s="31" t="s">
        <v>81</v>
      </c>
      <c r="B15" s="3" t="str">
        <f>novaUNB_graf_12!A6</f>
        <v>Čistá súčasná hodnota alternatív v závislosti od diskontnej sadzby</v>
      </c>
    </row>
    <row r="16" spans="1:5" x14ac:dyDescent="0.3">
      <c r="A16" s="31" t="s">
        <v>139</v>
      </c>
      <c r="B16" s="3" t="s">
        <v>8</v>
      </c>
      <c r="E16" s="31" t="s">
        <v>103</v>
      </c>
    </row>
    <row r="17" spans="1:2" x14ac:dyDescent="0.3">
      <c r="A17" s="31" t="s">
        <v>101</v>
      </c>
      <c r="B17" s="3" t="s">
        <v>102</v>
      </c>
    </row>
  </sheetData>
  <hyperlinks>
    <hyperlink ref="A6" location="novaUNB_financna_nUNB!R1C1" display="Finančná analýza novej UNB"/>
    <hyperlink ref="A7" location="novaUNB_financna_projekt!R1C1" display="Finančná analýza celého projektu"/>
    <hyperlink ref="A16" location="novaUNB_benchmarks!R1C1" display="Náklady na rekonštrukciu slovenských nemocníc"/>
    <hyperlink ref="A8" location="novaUNB_graf1_3!R1C1" display="Graf 1 a 3"/>
    <hyperlink ref="A9" location="novaUNB_graf2!R1C1" display="Graf 1 a 3"/>
    <hyperlink ref="A10" location="novaUNB_graf4_9!R1C1" display="Graf 4 a 9"/>
    <hyperlink ref="A11" location="novaUNB_graf6_8!R1C1" display="Graf 6 a 8"/>
    <hyperlink ref="A12" location="novaUNB_graf7!R1C1" display="Graf 7"/>
    <hyperlink ref="A13" location="novaUNB_graf_10!R1C1" display="novaUNB_graf_10!R1C1"/>
    <hyperlink ref="A14" location="novaUNB_graf_11!R1C1" display="Graf 11"/>
    <hyperlink ref="A15" location="novaUNB_graf_12!R1C1" display="Graf 12"/>
    <hyperlink ref="A17" location="novaUNB_GFA!R1C1" display="Odhad úspor pri zmene podlahovej plochy"/>
    <hyperlink ref="E16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6.5" x14ac:dyDescent="0.3"/>
  <cols>
    <col min="1" max="1" width="72.140625" style="1" bestFit="1" customWidth="1"/>
    <col min="2" max="2" width="17.28515625" style="1" bestFit="1" customWidth="1"/>
    <col min="3" max="3" width="14.85546875" style="1" bestFit="1" customWidth="1"/>
    <col min="4" max="4" width="14.5703125" style="1" bestFit="1" customWidth="1"/>
    <col min="5" max="5" width="27.28515625" style="1" bestFit="1" customWidth="1"/>
    <col min="6" max="16384" width="9.140625" style="1"/>
  </cols>
  <sheetData>
    <row r="1" spans="1:5" x14ac:dyDescent="0.3">
      <c r="A1" s="1" t="s">
        <v>0</v>
      </c>
      <c r="B1" s="32" t="s">
        <v>27</v>
      </c>
    </row>
    <row r="2" spans="1:5" x14ac:dyDescent="0.3">
      <c r="A2" s="2" t="s">
        <v>1</v>
      </c>
    </row>
    <row r="3" spans="1:5" x14ac:dyDescent="0.3">
      <c r="A3" s="4">
        <v>42828</v>
      </c>
    </row>
    <row r="5" spans="1:5" x14ac:dyDescent="0.3">
      <c r="A5" s="1" t="s">
        <v>78</v>
      </c>
    </row>
    <row r="6" spans="1:5" x14ac:dyDescent="0.3">
      <c r="A6" s="2" t="s">
        <v>79</v>
      </c>
    </row>
    <row r="8" spans="1:5" x14ac:dyDescent="0.3">
      <c r="A8" s="45" t="s">
        <v>80</v>
      </c>
      <c r="B8" s="10" t="s">
        <v>73</v>
      </c>
      <c r="C8" s="10" t="s">
        <v>74</v>
      </c>
      <c r="D8" s="10" t="s">
        <v>75</v>
      </c>
      <c r="E8" s="10" t="s">
        <v>76</v>
      </c>
    </row>
    <row r="9" spans="1:5" x14ac:dyDescent="0.3">
      <c r="A9" s="39">
        <v>0</v>
      </c>
      <c r="B9" s="28">
        <v>288790201.1011284</v>
      </c>
      <c r="C9" s="28">
        <v>221834429.93380305</v>
      </c>
      <c r="D9" s="28">
        <v>244288141.45737752</v>
      </c>
      <c r="E9" s="28">
        <v>254363698.47712713</v>
      </c>
    </row>
    <row r="10" spans="1:5" x14ac:dyDescent="0.3">
      <c r="A10" s="39">
        <v>0.25</v>
      </c>
      <c r="B10" s="28">
        <v>550551047.55932868</v>
      </c>
      <c r="C10" s="28">
        <v>610464318.82993972</v>
      </c>
      <c r="D10" s="28">
        <v>524041326.48981225</v>
      </c>
      <c r="E10" s="28">
        <v>315251813.19743526</v>
      </c>
    </row>
    <row r="11" spans="1:5" x14ac:dyDescent="0.3">
      <c r="A11" s="39">
        <v>0.5</v>
      </c>
      <c r="B11" s="28">
        <v>463297432.07326192</v>
      </c>
      <c r="C11" s="28">
        <v>480921022.53122771</v>
      </c>
      <c r="D11" s="28">
        <v>430790264.81233406</v>
      </c>
      <c r="E11" s="28">
        <v>294955774.95733261</v>
      </c>
    </row>
    <row r="12" spans="1:5" x14ac:dyDescent="0.3">
      <c r="A12" s="39">
        <v>0.75</v>
      </c>
      <c r="B12" s="28">
        <v>376043816.58719522</v>
      </c>
      <c r="C12" s="28">
        <v>351377726.23251528</v>
      </c>
      <c r="D12" s="28">
        <v>337539203.13485581</v>
      </c>
      <c r="E12" s="28">
        <v>274659736.7172299</v>
      </c>
    </row>
    <row r="13" spans="1:5" x14ac:dyDescent="0.3">
      <c r="A13" s="39">
        <v>1</v>
      </c>
      <c r="B13" s="28">
        <v>288790201.1011284</v>
      </c>
      <c r="C13" s="28">
        <v>221834429.93380305</v>
      </c>
      <c r="D13" s="28">
        <v>244288141.45737752</v>
      </c>
      <c r="E13" s="28">
        <v>254363698.47712713</v>
      </c>
    </row>
    <row r="14" spans="1:5" x14ac:dyDescent="0.3">
      <c r="A14" s="39">
        <v>1.25</v>
      </c>
      <c r="B14" s="28">
        <v>201536585.61506158</v>
      </c>
      <c r="C14" s="28">
        <v>92291133.635090813</v>
      </c>
      <c r="D14" s="28">
        <v>151037079.77989936</v>
      </c>
      <c r="E14" s="28">
        <v>234067660.23702443</v>
      </c>
    </row>
    <row r="15" spans="1:5" x14ac:dyDescent="0.3">
      <c r="A15" s="39">
        <v>1.5</v>
      </c>
      <c r="B15" s="28">
        <v>114282970.12899488</v>
      </c>
      <c r="C15" s="28">
        <v>-37252162.663621478</v>
      </c>
      <c r="D15" s="28">
        <v>57786018.102421135</v>
      </c>
      <c r="E15" s="28">
        <v>213771621.99692175</v>
      </c>
    </row>
    <row r="16" spans="1:5" x14ac:dyDescent="0.3">
      <c r="A16" s="39">
        <v>1.75</v>
      </c>
      <c r="B16" s="28">
        <v>27029354.642928157</v>
      </c>
      <c r="C16" s="28">
        <v>-166795458.96233374</v>
      </c>
      <c r="D16" s="28">
        <v>-35465043.575057037</v>
      </c>
      <c r="E16" s="28">
        <v>193475583.75681904</v>
      </c>
    </row>
    <row r="17" spans="1:5" x14ac:dyDescent="0.3">
      <c r="A17" s="46">
        <v>2</v>
      </c>
      <c r="B17" s="47">
        <v>-60224260.843138441</v>
      </c>
      <c r="C17" s="47">
        <v>-296338755.26104593</v>
      </c>
      <c r="D17" s="47">
        <v>-128716105.25253527</v>
      </c>
      <c r="E17" s="47">
        <v>173179545.51671627</v>
      </c>
    </row>
    <row r="18" spans="1:5" x14ac:dyDescent="0.3">
      <c r="A18" s="39">
        <v>2.25</v>
      </c>
      <c r="B18" s="47">
        <v>-147477876.32920516</v>
      </c>
      <c r="C18" s="47">
        <v>-425882051.55975825</v>
      </c>
      <c r="D18" s="47">
        <v>-221967166.93001339</v>
      </c>
      <c r="E18" s="47">
        <v>152883507.27661359</v>
      </c>
    </row>
    <row r="19" spans="1:5" x14ac:dyDescent="0.3">
      <c r="A19" s="39">
        <v>2.5</v>
      </c>
      <c r="B19" s="47">
        <v>-234731491.81527191</v>
      </c>
      <c r="C19" s="47">
        <v>-555425347.85847056</v>
      </c>
      <c r="D19" s="47">
        <v>-315218228.60749149</v>
      </c>
      <c r="E19" s="47">
        <v>132587469.03651093</v>
      </c>
    </row>
    <row r="20" spans="1:5" x14ac:dyDescent="0.3">
      <c r="A20" s="39">
        <v>2.75</v>
      </c>
      <c r="B20" s="47">
        <v>-321985107.30133861</v>
      </c>
      <c r="C20" s="47">
        <v>-684968644.15718257</v>
      </c>
      <c r="D20" s="47">
        <v>-408469290.28496981</v>
      </c>
      <c r="E20" s="47">
        <v>112291430.79640818</v>
      </c>
    </row>
    <row r="21" spans="1:5" x14ac:dyDescent="0.3">
      <c r="A21" s="41">
        <v>3</v>
      </c>
      <c r="B21" s="38">
        <v>-409238722.78740537</v>
      </c>
      <c r="C21" s="38">
        <v>-814511940.45589507</v>
      </c>
      <c r="D21" s="38">
        <v>-501720351.96244794</v>
      </c>
      <c r="E21" s="38">
        <v>91995392.556305453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59.7109375" customWidth="1"/>
    <col min="2" max="2" width="17.28515625" bestFit="1" customWidth="1"/>
    <col min="3" max="3" width="14.85546875" bestFit="1" customWidth="1"/>
    <col min="4" max="4" width="14.5703125" bestFit="1" customWidth="1"/>
    <col min="5" max="5" width="27.28515625" bestFit="1" customWidth="1"/>
  </cols>
  <sheetData>
    <row r="1" spans="1:5" ht="16.5" x14ac:dyDescent="0.3">
      <c r="A1" s="1" t="s">
        <v>0</v>
      </c>
      <c r="B1" s="32" t="s">
        <v>27</v>
      </c>
      <c r="C1" s="1"/>
      <c r="D1" s="1"/>
      <c r="E1" s="1"/>
    </row>
    <row r="2" spans="1:5" ht="16.5" x14ac:dyDescent="0.3">
      <c r="A2" s="2" t="s">
        <v>1</v>
      </c>
      <c r="B2" s="1"/>
      <c r="C2" s="1"/>
      <c r="D2" s="1"/>
      <c r="E2" s="1"/>
    </row>
    <row r="3" spans="1:5" ht="16.5" x14ac:dyDescent="0.3">
      <c r="A3" s="4">
        <v>42828</v>
      </c>
      <c r="B3" s="1"/>
      <c r="C3" s="1"/>
      <c r="D3" s="1"/>
      <c r="E3" s="1"/>
    </row>
    <row r="4" spans="1:5" ht="16.5" x14ac:dyDescent="0.3">
      <c r="A4" s="1"/>
      <c r="B4" s="1"/>
      <c r="C4" s="1"/>
      <c r="D4" s="1"/>
      <c r="E4" s="1"/>
    </row>
    <row r="5" spans="1:5" ht="16.5" x14ac:dyDescent="0.3">
      <c r="A5" s="1" t="s">
        <v>81</v>
      </c>
      <c r="B5" s="1"/>
      <c r="C5" s="1"/>
      <c r="D5" s="1"/>
      <c r="E5" s="1"/>
    </row>
    <row r="6" spans="1:5" ht="16.5" x14ac:dyDescent="0.3">
      <c r="A6" s="2" t="s">
        <v>82</v>
      </c>
      <c r="B6" s="1"/>
      <c r="C6" s="1"/>
      <c r="D6" s="1"/>
      <c r="E6" s="1"/>
    </row>
    <row r="7" spans="1:5" ht="16.5" x14ac:dyDescent="0.3">
      <c r="A7" s="1"/>
      <c r="B7" s="1"/>
      <c r="C7" s="1"/>
      <c r="D7" s="1"/>
      <c r="E7" s="1"/>
    </row>
    <row r="8" spans="1:5" ht="16.5" x14ac:dyDescent="0.3">
      <c r="A8" s="45" t="s">
        <v>83</v>
      </c>
      <c r="B8" s="10" t="s">
        <v>73</v>
      </c>
      <c r="C8" s="10" t="s">
        <v>74</v>
      </c>
      <c r="D8" s="10" t="s">
        <v>75</v>
      </c>
      <c r="E8" s="10" t="s">
        <v>76</v>
      </c>
    </row>
    <row r="9" spans="1:5" ht="16.5" x14ac:dyDescent="0.3">
      <c r="A9" s="48">
        <v>1.4999999999999999E-2</v>
      </c>
      <c r="B9" s="28">
        <v>556120893.14424932</v>
      </c>
      <c r="C9" s="28">
        <v>357378438.74128032</v>
      </c>
      <c r="D9" s="28">
        <v>491198996.19856209</v>
      </c>
      <c r="E9" s="28">
        <v>387955157.14185166</v>
      </c>
    </row>
    <row r="10" spans="1:5" ht="16.5" x14ac:dyDescent="0.3">
      <c r="A10" s="48">
        <v>0.02</v>
      </c>
      <c r="B10" s="28">
        <v>489240155.95178133</v>
      </c>
      <c r="C10" s="28">
        <v>323146027.09172326</v>
      </c>
      <c r="D10" s="28">
        <v>429368882.16895938</v>
      </c>
      <c r="E10" s="28">
        <v>354988595.40684742</v>
      </c>
    </row>
    <row r="11" spans="1:5" ht="16.5" x14ac:dyDescent="0.3">
      <c r="A11" s="48">
        <v>2.5000000000000001E-2</v>
      </c>
      <c r="B11" s="28">
        <v>429937485.27477098</v>
      </c>
      <c r="C11" s="28">
        <v>292973900.60993332</v>
      </c>
      <c r="D11" s="28">
        <v>374570298.45032036</v>
      </c>
      <c r="E11" s="28">
        <v>325548274.75432813</v>
      </c>
    </row>
    <row r="12" spans="1:5" ht="16.5" x14ac:dyDescent="0.3">
      <c r="A12" s="48">
        <v>0.03</v>
      </c>
      <c r="B12" s="28">
        <v>377282198.92291701</v>
      </c>
      <c r="C12" s="28">
        <v>266327074.54560837</v>
      </c>
      <c r="D12" s="28">
        <v>325940165.85444623</v>
      </c>
      <c r="E12" s="28">
        <v>299204354.27255851</v>
      </c>
    </row>
    <row r="13" spans="1:5" ht="16.5" x14ac:dyDescent="0.3">
      <c r="A13" s="48">
        <v>3.5000000000000003E-2</v>
      </c>
      <c r="B13" s="28">
        <v>330466916.9021787</v>
      </c>
      <c r="C13" s="28">
        <v>242745792.33219099</v>
      </c>
      <c r="D13" s="28">
        <v>282729661.52242219</v>
      </c>
      <c r="E13" s="28">
        <v>275584076.65680557</v>
      </c>
    </row>
    <row r="14" spans="1:5" ht="16.5" x14ac:dyDescent="0.3">
      <c r="A14" s="48">
        <v>0.04</v>
      </c>
      <c r="B14" s="28">
        <v>288790201.1011284</v>
      </c>
      <c r="C14" s="28">
        <v>221834429.93380305</v>
      </c>
      <c r="D14" s="28">
        <v>244288141.45737752</v>
      </c>
      <c r="E14" s="28">
        <v>254363698.47712713</v>
      </c>
    </row>
    <row r="15" spans="1:5" ht="16.5" x14ac:dyDescent="0.3">
      <c r="A15" s="48">
        <v>4.4999999999999998E-2</v>
      </c>
      <c r="B15" s="28">
        <v>251641762.9834272</v>
      </c>
      <c r="C15" s="28">
        <v>203252101.66275176</v>
      </c>
      <c r="D15" s="28">
        <v>210049440.32847971</v>
      </c>
      <c r="E15" s="28">
        <v>235261618.92031151</v>
      </c>
    </row>
    <row r="16" spans="1:5" ht="16.5" x14ac:dyDescent="0.3">
      <c r="A16" s="48">
        <v>0.05</v>
      </c>
      <c r="B16" s="28">
        <v>218489843.29308403</v>
      </c>
      <c r="C16" s="28">
        <v>186704697.60873663</v>
      </c>
      <c r="D16" s="28">
        <v>179520182.07743385</v>
      </c>
      <c r="E16" s="28">
        <v>218032521.53480989</v>
      </c>
    </row>
    <row r="17" spans="1:5" ht="16.5" x14ac:dyDescent="0.3">
      <c r="A17" s="49">
        <v>5.5E-2</v>
      </c>
      <c r="B17" s="47">
        <v>188870431.08989117</v>
      </c>
      <c r="C17" s="47">
        <v>171938126.93700275</v>
      </c>
      <c r="D17" s="47">
        <v>152269793.43468338</v>
      </c>
      <c r="E17" s="47">
        <v>202462373.25429511</v>
      </c>
    </row>
    <row r="18" spans="1:5" ht="16.5" x14ac:dyDescent="0.3">
      <c r="A18" s="50">
        <v>0.06</v>
      </c>
      <c r="B18" s="38">
        <v>162378042.28938928</v>
      </c>
      <c r="C18" s="38">
        <v>158732578.01339343</v>
      </c>
      <c r="D18" s="38">
        <v>127921961.35847057</v>
      </c>
      <c r="E18" s="38">
        <v>188364149.79675806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6.5" x14ac:dyDescent="0.3"/>
  <cols>
    <col min="1" max="1" width="64.85546875" style="1" bestFit="1" customWidth="1"/>
    <col min="2" max="2" width="35.28515625" style="1" bestFit="1" customWidth="1"/>
    <col min="3" max="3" width="22.85546875" style="1" bestFit="1" customWidth="1"/>
    <col min="4" max="4" width="22.5703125" style="1" bestFit="1" customWidth="1"/>
    <col min="5" max="5" width="11.7109375" style="1" bestFit="1" customWidth="1"/>
    <col min="6" max="16384" width="9.140625" style="1"/>
  </cols>
  <sheetData>
    <row r="1" spans="1:5" x14ac:dyDescent="0.3">
      <c r="A1" s="1" t="s">
        <v>0</v>
      </c>
      <c r="B1" s="32" t="s">
        <v>27</v>
      </c>
    </row>
    <row r="2" spans="1:5" x14ac:dyDescent="0.3">
      <c r="A2" s="2" t="s">
        <v>1</v>
      </c>
    </row>
    <row r="3" spans="1:5" x14ac:dyDescent="0.3">
      <c r="A3" s="4">
        <v>42828</v>
      </c>
    </row>
    <row r="5" spans="1:5" x14ac:dyDescent="0.3">
      <c r="A5" s="10" t="s">
        <v>5</v>
      </c>
      <c r="B5" s="10" t="s">
        <v>36</v>
      </c>
      <c r="C5" s="10" t="s">
        <v>35</v>
      </c>
      <c r="D5" s="10" t="s">
        <v>37</v>
      </c>
    </row>
    <row r="6" spans="1:5" x14ac:dyDescent="0.3">
      <c r="A6" s="1" t="s">
        <v>28</v>
      </c>
      <c r="B6" s="5">
        <v>12828</v>
      </c>
      <c r="C6" s="5">
        <v>2163313</v>
      </c>
      <c r="D6" s="5">
        <v>168.63992828188339</v>
      </c>
    </row>
    <row r="7" spans="1:5" x14ac:dyDescent="0.3">
      <c r="A7" s="1" t="s">
        <v>29</v>
      </c>
      <c r="B7" s="5">
        <v>5793</v>
      </c>
      <c r="C7" s="5">
        <v>1725298</v>
      </c>
      <c r="D7" s="5">
        <v>297.82461591576038</v>
      </c>
    </row>
    <row r="8" spans="1:5" x14ac:dyDescent="0.3">
      <c r="A8" s="1" t="s">
        <v>30</v>
      </c>
      <c r="B8" s="5">
        <v>3621</v>
      </c>
      <c r="C8" s="5">
        <v>2607982</v>
      </c>
      <c r="D8" s="5">
        <v>720.23805578569454</v>
      </c>
    </row>
    <row r="9" spans="1:5" x14ac:dyDescent="0.3">
      <c r="A9" s="1" t="s">
        <v>31</v>
      </c>
      <c r="B9" s="5">
        <v>29432</v>
      </c>
      <c r="C9" s="5">
        <v>14936457</v>
      </c>
      <c r="D9" s="5">
        <v>507.49038461538464</v>
      </c>
    </row>
    <row r="10" spans="1:5" x14ac:dyDescent="0.3">
      <c r="A10" s="1" t="s">
        <v>32</v>
      </c>
      <c r="B10" s="5">
        <v>12348</v>
      </c>
      <c r="C10" s="5">
        <v>3820125</v>
      </c>
      <c r="D10" s="5">
        <v>309.37196307094268</v>
      </c>
    </row>
    <row r="11" spans="1:5" x14ac:dyDescent="0.3">
      <c r="A11" s="33" t="s">
        <v>33</v>
      </c>
      <c r="B11" s="34">
        <v>23015</v>
      </c>
      <c r="C11" s="34">
        <v>14687573</v>
      </c>
      <c r="D11" s="34">
        <v>638.17393004562246</v>
      </c>
    </row>
    <row r="12" spans="1:5" x14ac:dyDescent="0.3">
      <c r="A12" s="8" t="s">
        <v>34</v>
      </c>
      <c r="B12" s="9">
        <v>9996</v>
      </c>
      <c r="C12" s="9">
        <v>1924861</v>
      </c>
      <c r="D12" s="9">
        <v>192.56312525010003</v>
      </c>
    </row>
    <row r="13" spans="1:5" x14ac:dyDescent="0.3">
      <c r="D13" s="57" t="s">
        <v>38</v>
      </c>
    </row>
    <row r="15" spans="1:5" x14ac:dyDescent="0.3">
      <c r="A15" s="10" t="s">
        <v>105</v>
      </c>
      <c r="B15" s="10" t="s">
        <v>106</v>
      </c>
      <c r="C15" s="10" t="s">
        <v>107</v>
      </c>
      <c r="D15" s="10" t="s">
        <v>108</v>
      </c>
      <c r="E15" s="10" t="s">
        <v>123</v>
      </c>
    </row>
    <row r="16" spans="1:5" x14ac:dyDescent="0.3">
      <c r="A16" s="1" t="s">
        <v>124</v>
      </c>
      <c r="B16" s="1">
        <v>370</v>
      </c>
      <c r="C16" s="55" t="s">
        <v>109</v>
      </c>
      <c r="D16" s="1">
        <v>350</v>
      </c>
      <c r="E16" s="1">
        <v>7917</v>
      </c>
    </row>
    <row r="17" spans="1:5" x14ac:dyDescent="0.3">
      <c r="A17" s="1" t="s">
        <v>125</v>
      </c>
      <c r="B17" s="1">
        <v>1112</v>
      </c>
      <c r="C17" s="55" t="s">
        <v>110</v>
      </c>
      <c r="D17" s="1">
        <v>3566</v>
      </c>
      <c r="E17" s="1">
        <v>1112</v>
      </c>
    </row>
    <row r="18" spans="1:5" x14ac:dyDescent="0.3">
      <c r="A18" s="1" t="s">
        <v>126</v>
      </c>
      <c r="B18" s="1">
        <v>541</v>
      </c>
      <c r="C18" s="55" t="s">
        <v>111</v>
      </c>
      <c r="D18" s="1">
        <v>1550</v>
      </c>
      <c r="E18" s="1">
        <v>2164</v>
      </c>
    </row>
    <row r="19" spans="1:5" x14ac:dyDescent="0.3">
      <c r="A19" s="1" t="s">
        <v>127</v>
      </c>
      <c r="B19" s="1">
        <v>45</v>
      </c>
      <c r="C19" s="55" t="s">
        <v>112</v>
      </c>
      <c r="D19" s="1">
        <v>390</v>
      </c>
      <c r="E19" s="1">
        <v>2500</v>
      </c>
    </row>
    <row r="20" spans="1:5" x14ac:dyDescent="0.3">
      <c r="A20" s="1" t="s">
        <v>128</v>
      </c>
      <c r="B20" s="1">
        <v>252</v>
      </c>
      <c r="C20" s="55" t="s">
        <v>113</v>
      </c>
      <c r="D20" s="1">
        <v>755</v>
      </c>
      <c r="E20" s="1">
        <v>1400</v>
      </c>
    </row>
    <row r="21" spans="1:5" x14ac:dyDescent="0.3">
      <c r="A21" s="1" t="s">
        <v>129</v>
      </c>
      <c r="B21" s="1">
        <v>40</v>
      </c>
      <c r="C21" s="55" t="s">
        <v>114</v>
      </c>
      <c r="D21" s="1">
        <v>150</v>
      </c>
      <c r="E21" s="1">
        <v>1600</v>
      </c>
    </row>
    <row r="22" spans="1:5" x14ac:dyDescent="0.3">
      <c r="A22" s="1" t="s">
        <v>130</v>
      </c>
      <c r="B22" s="1">
        <v>276</v>
      </c>
      <c r="C22" s="55" t="s">
        <v>115</v>
      </c>
      <c r="D22" s="1">
        <v>561</v>
      </c>
      <c r="E22" s="1">
        <v>4476</v>
      </c>
    </row>
    <row r="23" spans="1:5" x14ac:dyDescent="0.3">
      <c r="A23" s="1" t="s">
        <v>131</v>
      </c>
      <c r="B23" s="1">
        <v>224</v>
      </c>
      <c r="C23" s="55" t="s">
        <v>116</v>
      </c>
      <c r="D23" s="1">
        <v>300</v>
      </c>
      <c r="E23" s="1">
        <v>5600</v>
      </c>
    </row>
    <row r="24" spans="1:5" x14ac:dyDescent="0.3">
      <c r="A24" s="1" t="s">
        <v>132</v>
      </c>
      <c r="B24" s="1">
        <v>825</v>
      </c>
      <c r="C24" s="55" t="s">
        <v>117</v>
      </c>
      <c r="D24" s="1">
        <v>850</v>
      </c>
      <c r="E24" s="1">
        <v>3438</v>
      </c>
    </row>
    <row r="25" spans="1:5" x14ac:dyDescent="0.3">
      <c r="A25" s="1" t="s">
        <v>133</v>
      </c>
      <c r="B25" s="1">
        <v>402</v>
      </c>
      <c r="C25" s="55" t="s">
        <v>118</v>
      </c>
      <c r="D25" s="1">
        <v>670</v>
      </c>
      <c r="E25" s="1">
        <v>5025</v>
      </c>
    </row>
    <row r="26" spans="1:5" x14ac:dyDescent="0.3">
      <c r="A26" s="1" t="s">
        <v>134</v>
      </c>
      <c r="B26" s="1">
        <v>70</v>
      </c>
      <c r="C26" s="55" t="s">
        <v>119</v>
      </c>
      <c r="D26" s="1">
        <v>140</v>
      </c>
      <c r="E26" s="1">
        <v>4375</v>
      </c>
    </row>
    <row r="27" spans="1:5" x14ac:dyDescent="0.3">
      <c r="A27" s="1" t="s">
        <v>135</v>
      </c>
      <c r="B27" s="1">
        <v>520</v>
      </c>
      <c r="C27" s="55" t="s">
        <v>120</v>
      </c>
      <c r="D27" s="1">
        <v>2400</v>
      </c>
      <c r="E27" s="1">
        <v>2037</v>
      </c>
    </row>
    <row r="28" spans="1:5" x14ac:dyDescent="0.3">
      <c r="A28" s="1" t="s">
        <v>136</v>
      </c>
      <c r="B28" s="1">
        <v>380</v>
      </c>
      <c r="C28" s="55" t="s">
        <v>111</v>
      </c>
      <c r="D28" s="1">
        <v>900</v>
      </c>
      <c r="E28" s="1">
        <v>1520</v>
      </c>
    </row>
    <row r="29" spans="1:5" x14ac:dyDescent="0.3">
      <c r="A29" s="1" t="s">
        <v>137</v>
      </c>
      <c r="B29" s="1">
        <v>453</v>
      </c>
      <c r="C29" s="55" t="s">
        <v>121</v>
      </c>
      <c r="D29" s="1">
        <v>650</v>
      </c>
      <c r="E29" s="1">
        <v>4819</v>
      </c>
    </row>
    <row r="30" spans="1:5" x14ac:dyDescent="0.3">
      <c r="A30" s="8" t="s">
        <v>138</v>
      </c>
      <c r="B30" s="8">
        <v>50</v>
      </c>
      <c r="C30" s="56" t="s">
        <v>122</v>
      </c>
      <c r="D30" s="8">
        <v>110</v>
      </c>
      <c r="E30" s="8">
        <v>2344</v>
      </c>
    </row>
    <row r="31" spans="1:5" x14ac:dyDescent="0.3">
      <c r="E31" s="57" t="s">
        <v>38</v>
      </c>
    </row>
  </sheetData>
  <hyperlinks>
    <hyperlink ref="B1" location="novaUNB_podklady!R1C1" display="späť na obsah"/>
    <hyperlink ref="D13" r:id="rId1"/>
    <hyperlink ref="E31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6.5" x14ac:dyDescent="0.3"/>
  <cols>
    <col min="1" max="1" width="46.28515625" style="1" customWidth="1"/>
    <col min="2" max="2" width="26.42578125" style="1" bestFit="1" customWidth="1"/>
    <col min="3" max="3" width="9.85546875" style="1" bestFit="1" customWidth="1"/>
    <col min="4" max="4" width="13.85546875" style="1" customWidth="1"/>
    <col min="5" max="5" width="5.85546875" style="1" customWidth="1"/>
    <col min="6" max="6" width="23.28515625" style="1" customWidth="1"/>
    <col min="7" max="7" width="12.140625" style="1" bestFit="1" customWidth="1"/>
    <col min="8" max="8" width="9.85546875" style="1" bestFit="1" customWidth="1"/>
    <col min="9" max="9" width="19.85546875" style="1" customWidth="1"/>
    <col min="10" max="16384" width="9.140625" style="1"/>
  </cols>
  <sheetData>
    <row r="1" spans="1:9" x14ac:dyDescent="0.3">
      <c r="A1" s="1" t="s">
        <v>0</v>
      </c>
      <c r="B1" s="32" t="s">
        <v>27</v>
      </c>
    </row>
    <row r="2" spans="1:9" x14ac:dyDescent="0.3">
      <c r="A2" s="2" t="s">
        <v>1</v>
      </c>
    </row>
    <row r="3" spans="1:9" x14ac:dyDescent="0.3">
      <c r="A3" s="4">
        <v>42828</v>
      </c>
    </row>
    <row r="4" spans="1:9" x14ac:dyDescent="0.3">
      <c r="A4" s="40"/>
      <c r="B4" s="10" t="s">
        <v>93</v>
      </c>
      <c r="C4" s="10" t="s">
        <v>94</v>
      </c>
      <c r="D4" s="10" t="s">
        <v>95</v>
      </c>
      <c r="E4" s="10"/>
      <c r="F4" s="10" t="s">
        <v>96</v>
      </c>
      <c r="G4" s="10" t="s">
        <v>95</v>
      </c>
      <c r="H4" s="10" t="s">
        <v>97</v>
      </c>
      <c r="I4" s="10" t="s">
        <v>98</v>
      </c>
    </row>
    <row r="5" spans="1:9" x14ac:dyDescent="0.3">
      <c r="A5" s="2" t="s">
        <v>87</v>
      </c>
      <c r="B5" s="5">
        <v>70512</v>
      </c>
    </row>
    <row r="6" spans="1:9" x14ac:dyDescent="0.3">
      <c r="A6" s="1" t="s">
        <v>88</v>
      </c>
      <c r="B6" s="5">
        <v>41166.834109699965</v>
      </c>
    </row>
    <row r="7" spans="1:9" x14ac:dyDescent="0.3">
      <c r="A7" s="1" t="s">
        <v>89</v>
      </c>
      <c r="B7" s="5">
        <f>B5-B6</f>
        <v>29345.165890300035</v>
      </c>
    </row>
    <row r="9" spans="1:9" x14ac:dyDescent="0.3">
      <c r="A9" s="2" t="s">
        <v>90</v>
      </c>
      <c r="B9" s="5">
        <f>B10+B11</f>
        <v>113484.02207814099</v>
      </c>
      <c r="C9" s="5">
        <v>2321</v>
      </c>
      <c r="D9" s="5">
        <f>C9*B9</f>
        <v>263396415.24336523</v>
      </c>
      <c r="F9" s="5">
        <f>F10+F11</f>
        <v>104015.65023291</v>
      </c>
      <c r="G9" s="5">
        <f>C9*F9</f>
        <v>241420324.19058412</v>
      </c>
      <c r="H9" s="5">
        <f>D9-G9</f>
        <v>21976091.052781105</v>
      </c>
      <c r="I9" s="39">
        <f>H9/D9</f>
        <v>8.3433523696502421E-2</v>
      </c>
    </row>
    <row r="10" spans="1:9" x14ac:dyDescent="0.3">
      <c r="A10" s="1" t="s">
        <v>91</v>
      </c>
      <c r="B10" s="5">
        <f>B6*1.83</f>
        <v>75335.306420750945</v>
      </c>
      <c r="C10" s="5"/>
      <c r="D10" s="5"/>
      <c r="F10" s="5">
        <f>B6*1.6</f>
        <v>65866.934575519947</v>
      </c>
      <c r="G10" s="5"/>
      <c r="H10" s="5"/>
      <c r="I10" s="39"/>
    </row>
    <row r="11" spans="1:9" x14ac:dyDescent="0.3">
      <c r="A11" s="8" t="s">
        <v>92</v>
      </c>
      <c r="B11" s="9">
        <f>B7*1.3</f>
        <v>38148.71565739005</v>
      </c>
      <c r="C11" s="9"/>
      <c r="D11" s="9"/>
      <c r="E11" s="8"/>
      <c r="F11" s="9">
        <f>B11</f>
        <v>38148.71565739005</v>
      </c>
      <c r="G11" s="8"/>
      <c r="H11" s="8"/>
      <c r="I11" s="8"/>
    </row>
    <row r="13" spans="1:9" x14ac:dyDescent="0.3">
      <c r="A13" s="53" t="s">
        <v>99</v>
      </c>
      <c r="B13" s="54">
        <v>235640167</v>
      </c>
    </row>
    <row r="14" spans="1:9" x14ac:dyDescent="0.3">
      <c r="A14" s="8" t="s">
        <v>100</v>
      </c>
      <c r="B14" s="9">
        <f>B13*I9</f>
        <v>19660289.457242288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workbookViewId="0"/>
  </sheetViews>
  <sheetFormatPr defaultRowHeight="16.5" x14ac:dyDescent="0.3"/>
  <cols>
    <col min="1" max="1" width="43.7109375" style="1" bestFit="1" customWidth="1"/>
    <col min="2" max="2" width="21.28515625" style="1" customWidth="1"/>
    <col min="3" max="5" width="9.28515625" style="1" bestFit="1" customWidth="1"/>
    <col min="6" max="6" width="10.42578125" style="1" bestFit="1" customWidth="1"/>
    <col min="7" max="7" width="11.42578125" style="1" bestFit="1" customWidth="1"/>
    <col min="8" max="8" width="10.42578125" style="1" bestFit="1" customWidth="1"/>
    <col min="9" max="9" width="12.7109375" style="1" bestFit="1" customWidth="1"/>
    <col min="10" max="36" width="10.85546875" style="1" bestFit="1" customWidth="1"/>
    <col min="37" max="16384" width="9.140625" style="1"/>
  </cols>
  <sheetData>
    <row r="1" spans="1:36" x14ac:dyDescent="0.3">
      <c r="A1" s="1" t="s">
        <v>0</v>
      </c>
      <c r="B1" s="32" t="s">
        <v>27</v>
      </c>
    </row>
    <row r="2" spans="1:36" x14ac:dyDescent="0.3">
      <c r="A2" s="2" t="s">
        <v>1</v>
      </c>
      <c r="B2" s="2"/>
    </row>
    <row r="3" spans="1:36" x14ac:dyDescent="0.3">
      <c r="A3" s="4">
        <v>42828</v>
      </c>
      <c r="B3" s="4"/>
    </row>
    <row r="4" spans="1:36" x14ac:dyDescent="0.3">
      <c r="F4" s="3" t="s">
        <v>24</v>
      </c>
      <c r="I4" s="3" t="s">
        <v>25</v>
      </c>
    </row>
    <row r="5" spans="1:36" x14ac:dyDescent="0.3">
      <c r="A5" s="10" t="s">
        <v>3</v>
      </c>
      <c r="B5" s="10" t="s">
        <v>26</v>
      </c>
      <c r="C5" s="10">
        <v>2017</v>
      </c>
      <c r="D5" s="10">
        <v>2018</v>
      </c>
      <c r="E5" s="10">
        <v>2019</v>
      </c>
      <c r="F5" s="11">
        <v>2020</v>
      </c>
      <c r="G5" s="11">
        <v>2021</v>
      </c>
      <c r="H5" s="11">
        <v>2022</v>
      </c>
      <c r="I5" s="12">
        <v>2023</v>
      </c>
      <c r="J5" s="10">
        <v>2024</v>
      </c>
      <c r="K5" s="10">
        <v>2025</v>
      </c>
      <c r="L5" s="10">
        <v>2026</v>
      </c>
      <c r="M5" s="10">
        <v>2027</v>
      </c>
      <c r="N5" s="10">
        <v>2028</v>
      </c>
      <c r="O5" s="10">
        <v>2029</v>
      </c>
      <c r="P5" s="10">
        <v>2030</v>
      </c>
      <c r="Q5" s="10">
        <v>2031</v>
      </c>
      <c r="R5" s="10">
        <v>2032</v>
      </c>
      <c r="S5" s="10">
        <v>2033</v>
      </c>
      <c r="T5" s="10">
        <v>2034</v>
      </c>
      <c r="U5" s="10">
        <v>2035</v>
      </c>
      <c r="V5" s="10">
        <v>2036</v>
      </c>
      <c r="W5" s="10">
        <v>2037</v>
      </c>
      <c r="X5" s="10">
        <v>2038</v>
      </c>
      <c r="Y5" s="10">
        <v>2039</v>
      </c>
      <c r="Z5" s="10">
        <v>2040</v>
      </c>
      <c r="AA5" s="10">
        <v>2041</v>
      </c>
      <c r="AB5" s="10">
        <v>2042</v>
      </c>
      <c r="AC5" s="10">
        <v>2043</v>
      </c>
      <c r="AD5" s="10">
        <v>2044</v>
      </c>
      <c r="AE5" s="10">
        <v>2045</v>
      </c>
      <c r="AF5" s="10">
        <v>2046</v>
      </c>
      <c r="AG5" s="10">
        <v>2047</v>
      </c>
      <c r="AH5" s="10">
        <v>2048</v>
      </c>
      <c r="AI5" s="10">
        <v>2049</v>
      </c>
      <c r="AJ5" s="10">
        <v>2050</v>
      </c>
    </row>
    <row r="6" spans="1:36" s="15" customFormat="1" ht="12.75" x14ac:dyDescent="0.2">
      <c r="A6" s="17" t="s">
        <v>9</v>
      </c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 s="15" customFormat="1" ht="12.75" x14ac:dyDescent="0.2">
      <c r="A7" s="15" t="s">
        <v>10</v>
      </c>
      <c r="B7" s="24"/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131547566.36159354</v>
      </c>
      <c r="J7" s="16">
        <v>133333622.43666056</v>
      </c>
      <c r="K7" s="16">
        <v>135136821.02152753</v>
      </c>
      <c r="L7" s="16">
        <v>136845178.77045947</v>
      </c>
      <c r="M7" s="16">
        <v>138554261.28916878</v>
      </c>
      <c r="N7" s="16">
        <v>140267044.45364791</v>
      </c>
      <c r="O7" s="16">
        <v>141986376.38729626</v>
      </c>
      <c r="P7" s="16">
        <v>143715037.52801841</v>
      </c>
      <c r="Q7" s="16">
        <v>145299511.79681551</v>
      </c>
      <c r="R7" s="16">
        <v>146893408.17607269</v>
      </c>
      <c r="S7" s="16">
        <v>148496659.46540111</v>
      </c>
      <c r="T7" s="16">
        <v>150109197.42432392</v>
      </c>
      <c r="U7" s="16">
        <v>151730952.81729886</v>
      </c>
      <c r="V7" s="16">
        <v>153636524.70570695</v>
      </c>
      <c r="W7" s="16">
        <v>155577805.72004578</v>
      </c>
      <c r="X7" s="16">
        <v>157555611.07852244</v>
      </c>
      <c r="Y7" s="16">
        <v>159570791.37406024</v>
      </c>
      <c r="Z7" s="16">
        <v>161624233.87428692</v>
      </c>
      <c r="AA7" s="16">
        <v>163607478.65842614</v>
      </c>
      <c r="AB7" s="16">
        <v>165606482.82593921</v>
      </c>
      <c r="AC7" s="16">
        <v>167621287.07429701</v>
      </c>
      <c r="AD7" s="16">
        <v>169651931.57422599</v>
      </c>
      <c r="AE7" s="16">
        <v>171698455.97474611</v>
      </c>
      <c r="AF7" s="16">
        <v>173767138.42101297</v>
      </c>
      <c r="AG7" s="16">
        <v>175858250.35119766</v>
      </c>
      <c r="AH7" s="16">
        <v>177972067.06032449</v>
      </c>
      <c r="AI7" s="16">
        <v>180108867.76023164</v>
      </c>
      <c r="AJ7" s="16">
        <v>182268935.64049861</v>
      </c>
    </row>
    <row r="8" spans="1:36" s="15" customFormat="1" ht="12.75" x14ac:dyDescent="0.2">
      <c r="A8" s="15" t="s">
        <v>11</v>
      </c>
      <c r="B8" s="24"/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131547566.36159354</v>
      </c>
      <c r="J8" s="16">
        <v>133333622.43666056</v>
      </c>
      <c r="K8" s="16">
        <v>135136821.02152753</v>
      </c>
      <c r="L8" s="16">
        <v>136845178.77045947</v>
      </c>
      <c r="M8" s="16">
        <v>138554261.28916878</v>
      </c>
      <c r="N8" s="16">
        <v>140267044.45364791</v>
      </c>
      <c r="O8" s="16">
        <v>141986376.38729626</v>
      </c>
      <c r="P8" s="16">
        <v>143715037.52801841</v>
      </c>
      <c r="Q8" s="16">
        <v>145299511.79681551</v>
      </c>
      <c r="R8" s="16">
        <v>146893408.17607269</v>
      </c>
      <c r="S8" s="16">
        <v>148496659.46540111</v>
      </c>
      <c r="T8" s="16">
        <v>150109197.42432392</v>
      </c>
      <c r="U8" s="16">
        <v>151730952.81729886</v>
      </c>
      <c r="V8" s="16">
        <v>153636524.70570695</v>
      </c>
      <c r="W8" s="16">
        <v>155577805.72004578</v>
      </c>
      <c r="X8" s="16">
        <v>157555611.07852244</v>
      </c>
      <c r="Y8" s="16">
        <v>159570791.37406024</v>
      </c>
      <c r="Z8" s="16">
        <v>161624233.87428692</v>
      </c>
      <c r="AA8" s="16">
        <v>163607478.65842614</v>
      </c>
      <c r="AB8" s="16">
        <v>165606482.82593921</v>
      </c>
      <c r="AC8" s="16">
        <v>167621287.07429701</v>
      </c>
      <c r="AD8" s="16">
        <v>169651931.57422599</v>
      </c>
      <c r="AE8" s="16">
        <v>171698455.97474611</v>
      </c>
      <c r="AF8" s="16">
        <v>173767138.42101297</v>
      </c>
      <c r="AG8" s="16">
        <v>175858250.35119766</v>
      </c>
      <c r="AH8" s="16">
        <v>177972067.06032449</v>
      </c>
      <c r="AI8" s="16">
        <v>180108867.76023164</v>
      </c>
      <c r="AJ8" s="16">
        <v>182268935.64049861</v>
      </c>
    </row>
    <row r="9" spans="1:36" s="15" customFormat="1" ht="12.75" x14ac:dyDescent="0.2">
      <c r="A9" s="15" t="s">
        <v>12</v>
      </c>
      <c r="B9" s="24"/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131547566.36159354</v>
      </c>
      <c r="J9" s="16">
        <v>133333622.43666056</v>
      </c>
      <c r="K9" s="16">
        <v>135136821.02152753</v>
      </c>
      <c r="L9" s="16">
        <v>136845178.77045947</v>
      </c>
      <c r="M9" s="16">
        <v>138554261.28916878</v>
      </c>
      <c r="N9" s="16">
        <v>140267044.45364791</v>
      </c>
      <c r="O9" s="16">
        <v>141986376.38729626</v>
      </c>
      <c r="P9" s="16">
        <v>143715037.52801841</v>
      </c>
      <c r="Q9" s="16">
        <v>145299511.79681551</v>
      </c>
      <c r="R9" s="16">
        <v>146893408.17607269</v>
      </c>
      <c r="S9" s="16">
        <v>148496659.46540111</v>
      </c>
      <c r="T9" s="16">
        <v>150109197.42432392</v>
      </c>
      <c r="U9" s="16">
        <v>151730952.81729886</v>
      </c>
      <c r="V9" s="16">
        <v>153636524.70570695</v>
      </c>
      <c r="W9" s="16">
        <v>155577805.72004578</v>
      </c>
      <c r="X9" s="16">
        <v>157555611.07852244</v>
      </c>
      <c r="Y9" s="16">
        <v>159570791.37406024</v>
      </c>
      <c r="Z9" s="16">
        <v>161624233.87428692</v>
      </c>
      <c r="AA9" s="16">
        <v>163607478.65842614</v>
      </c>
      <c r="AB9" s="16">
        <v>165606482.82593921</v>
      </c>
      <c r="AC9" s="16">
        <v>167621287.07429701</v>
      </c>
      <c r="AD9" s="16">
        <v>169651931.57422599</v>
      </c>
      <c r="AE9" s="16">
        <v>171698455.97474611</v>
      </c>
      <c r="AF9" s="16">
        <v>173767138.42101297</v>
      </c>
      <c r="AG9" s="16">
        <v>175858250.35119766</v>
      </c>
      <c r="AH9" s="16">
        <v>177972067.06032449</v>
      </c>
      <c r="AI9" s="16">
        <v>180108867.76023164</v>
      </c>
      <c r="AJ9" s="16">
        <v>182268935.64049861</v>
      </c>
    </row>
    <row r="10" spans="1:36" s="15" customFormat="1" ht="12.75" x14ac:dyDescent="0.2">
      <c r="A10" s="18"/>
      <c r="B10" s="2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s="15" customFormat="1" ht="12.75" x14ac:dyDescent="0.2">
      <c r="A11" s="17" t="s">
        <v>13</v>
      </c>
      <c r="B11" s="2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s="15" customFormat="1" ht="12.75" x14ac:dyDescent="0.2">
      <c r="A12" s="15" t="s">
        <v>10</v>
      </c>
      <c r="B12" s="24"/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f>I13*1.1</f>
        <v>112707184.51688786</v>
      </c>
      <c r="J12" s="16">
        <f t="shared" ref="J12:AJ12" si="0">J13*1.1</f>
        <v>114597793.22253194</v>
      </c>
      <c r="K12" s="16">
        <f t="shared" si="0"/>
        <v>112356457.02953845</v>
      </c>
      <c r="L12" s="16">
        <f t="shared" si="0"/>
        <v>114039144.78023434</v>
      </c>
      <c r="M12" s="16">
        <f t="shared" si="0"/>
        <v>115749522.31117617</v>
      </c>
      <c r="N12" s="16">
        <f t="shared" si="0"/>
        <v>117488063.24559072</v>
      </c>
      <c r="O12" s="16">
        <f t="shared" si="0"/>
        <v>119255249.12564021</v>
      </c>
      <c r="P12" s="16">
        <f t="shared" si="0"/>
        <v>118843104.74288502</v>
      </c>
      <c r="Q12" s="16">
        <f t="shared" si="0"/>
        <v>120478930.16538894</v>
      </c>
      <c r="R12" s="16">
        <f t="shared" si="0"/>
        <v>122140817.62571783</v>
      </c>
      <c r="S12" s="16">
        <f t="shared" si="0"/>
        <v>123829199.74483639</v>
      </c>
      <c r="T12" s="16">
        <f t="shared" si="0"/>
        <v>125544516.22936915</v>
      </c>
      <c r="U12" s="16">
        <f t="shared" si="0"/>
        <v>126043650.02219206</v>
      </c>
      <c r="V12" s="16">
        <f t="shared" si="0"/>
        <v>128060155.57265061</v>
      </c>
      <c r="W12" s="16">
        <f t="shared" si="0"/>
        <v>130110424.26979443</v>
      </c>
      <c r="X12" s="16">
        <f t="shared" si="0"/>
        <v>132195040.63863821</v>
      </c>
      <c r="Y12" s="16">
        <f t="shared" si="0"/>
        <v>134314599.05817822</v>
      </c>
      <c r="Z12" s="16">
        <f t="shared" si="0"/>
        <v>135745679.79904586</v>
      </c>
      <c r="AA12" s="16">
        <f t="shared" si="0"/>
        <v>137825444.34788337</v>
      </c>
      <c r="AB12" s="16">
        <f t="shared" si="0"/>
        <v>139939601.34278005</v>
      </c>
      <c r="AC12" s="16">
        <f t="shared" si="0"/>
        <v>142088737.33491412</v>
      </c>
      <c r="AD12" s="16">
        <f t="shared" si="0"/>
        <v>144273448.66461211</v>
      </c>
      <c r="AE12" s="16">
        <f t="shared" si="0"/>
        <v>145520502.9026019</v>
      </c>
      <c r="AF12" s="16">
        <f t="shared" si="0"/>
        <v>147734891.66366476</v>
      </c>
      <c r="AG12" s="16">
        <f t="shared" si="0"/>
        <v>149985698.29586807</v>
      </c>
      <c r="AH12" s="16">
        <f t="shared" si="0"/>
        <v>152273540.19842318</v>
      </c>
      <c r="AI12" s="16">
        <f t="shared" si="0"/>
        <v>154599045.03291893</v>
      </c>
      <c r="AJ12" s="16">
        <f t="shared" si="0"/>
        <v>155819961.78047666</v>
      </c>
    </row>
    <row r="13" spans="1:36" s="15" customFormat="1" ht="12.75" x14ac:dyDescent="0.2">
      <c r="A13" s="15" t="s">
        <v>11</v>
      </c>
      <c r="B13" s="24"/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102461076.8335344</v>
      </c>
      <c r="J13" s="16">
        <v>104179812.02048358</v>
      </c>
      <c r="K13" s="16">
        <v>102142233.66321677</v>
      </c>
      <c r="L13" s="16">
        <v>103671949.80021302</v>
      </c>
      <c r="M13" s="16">
        <v>105226838.4647056</v>
      </c>
      <c r="N13" s="16">
        <v>106807330.22326428</v>
      </c>
      <c r="O13" s="16">
        <v>108413862.84149109</v>
      </c>
      <c r="P13" s="16">
        <v>108039186.12989546</v>
      </c>
      <c r="Q13" s="16">
        <v>109526300.15035358</v>
      </c>
      <c r="R13" s="16">
        <v>111037106.93247075</v>
      </c>
      <c r="S13" s="16">
        <v>112571999.76803307</v>
      </c>
      <c r="T13" s="16">
        <v>114131378.39033557</v>
      </c>
      <c r="U13" s="16">
        <v>114585136.38381095</v>
      </c>
      <c r="V13" s="16">
        <v>116418323.24786419</v>
      </c>
      <c r="W13" s="16">
        <v>118282203.8816313</v>
      </c>
      <c r="X13" s="16">
        <v>120177309.67148927</v>
      </c>
      <c r="Y13" s="16">
        <v>122104180.96198018</v>
      </c>
      <c r="Z13" s="16">
        <v>123405163.45367804</v>
      </c>
      <c r="AA13" s="16">
        <v>125295858.49807578</v>
      </c>
      <c r="AB13" s="16">
        <v>127217819.40252732</v>
      </c>
      <c r="AC13" s="16">
        <v>129171579.39537646</v>
      </c>
      <c r="AD13" s="16">
        <v>131157680.60419281</v>
      </c>
      <c r="AE13" s="16">
        <v>132291366.27509262</v>
      </c>
      <c r="AF13" s="16">
        <v>134304446.96696794</v>
      </c>
      <c r="AG13" s="16">
        <v>136350634.8144255</v>
      </c>
      <c r="AH13" s="16">
        <v>138430491.0894756</v>
      </c>
      <c r="AI13" s="16">
        <v>140544586.39356264</v>
      </c>
      <c r="AJ13" s="16">
        <v>141654510.70952421</v>
      </c>
    </row>
    <row r="14" spans="1:36" s="15" customFormat="1" ht="12.75" x14ac:dyDescent="0.2">
      <c r="A14" s="15" t="s">
        <v>12</v>
      </c>
      <c r="B14" s="24"/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f>I13*1.075</f>
        <v>110145657.59604949</v>
      </c>
      <c r="J14" s="16">
        <f t="shared" ref="J14:AJ14" si="1">J13*1.075</f>
        <v>111993297.92201985</v>
      </c>
      <c r="K14" s="16">
        <f t="shared" si="1"/>
        <v>109802901.18795802</v>
      </c>
      <c r="L14" s="16">
        <f t="shared" si="1"/>
        <v>111447346.035229</v>
      </c>
      <c r="M14" s="16">
        <f t="shared" si="1"/>
        <v>113118851.34955852</v>
      </c>
      <c r="N14" s="16">
        <f t="shared" si="1"/>
        <v>114817879.9900091</v>
      </c>
      <c r="O14" s="16">
        <f t="shared" si="1"/>
        <v>116544902.55460292</v>
      </c>
      <c r="P14" s="16">
        <f t="shared" si="1"/>
        <v>116142125.08963762</v>
      </c>
      <c r="Q14" s="16">
        <f t="shared" si="1"/>
        <v>117740772.66163009</v>
      </c>
      <c r="R14" s="16">
        <f t="shared" si="1"/>
        <v>119364889.95240605</v>
      </c>
      <c r="S14" s="16">
        <f t="shared" si="1"/>
        <v>121014899.75063555</v>
      </c>
      <c r="T14" s="16">
        <f t="shared" si="1"/>
        <v>122691231.76961073</v>
      </c>
      <c r="U14" s="16">
        <f t="shared" si="1"/>
        <v>123179021.61259677</v>
      </c>
      <c r="V14" s="16">
        <f t="shared" si="1"/>
        <v>125149697.49145399</v>
      </c>
      <c r="W14" s="16">
        <f t="shared" si="1"/>
        <v>127153369.17275365</v>
      </c>
      <c r="X14" s="16">
        <f t="shared" si="1"/>
        <v>129190607.89685096</v>
      </c>
      <c r="Y14" s="16">
        <f t="shared" si="1"/>
        <v>131261994.53412868</v>
      </c>
      <c r="Z14" s="16">
        <f t="shared" si="1"/>
        <v>132660550.71270388</v>
      </c>
      <c r="AA14" s="16">
        <f t="shared" si="1"/>
        <v>134693047.88543147</v>
      </c>
      <c r="AB14" s="16">
        <f t="shared" si="1"/>
        <v>136759155.85771686</v>
      </c>
      <c r="AC14" s="16">
        <f t="shared" si="1"/>
        <v>138859447.85002968</v>
      </c>
      <c r="AD14" s="16">
        <f t="shared" si="1"/>
        <v>140994506.64950725</v>
      </c>
      <c r="AE14" s="16">
        <f t="shared" si="1"/>
        <v>142213218.74572456</v>
      </c>
      <c r="AF14" s="16">
        <f t="shared" si="1"/>
        <v>144377280.48949054</v>
      </c>
      <c r="AG14" s="16">
        <f t="shared" si="1"/>
        <v>146576932.4255074</v>
      </c>
      <c r="AH14" s="16">
        <f t="shared" si="1"/>
        <v>148812777.92118627</v>
      </c>
      <c r="AI14" s="16">
        <f t="shared" si="1"/>
        <v>151085430.37307984</v>
      </c>
      <c r="AJ14" s="16">
        <f t="shared" si="1"/>
        <v>152278599.01273853</v>
      </c>
    </row>
    <row r="15" spans="1:36" s="15" customFormat="1" ht="12.75" x14ac:dyDescent="0.2">
      <c r="A15" s="18"/>
      <c r="B15" s="2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s="15" customFormat="1" ht="12.75" x14ac:dyDescent="0.2">
      <c r="A16" s="17" t="s">
        <v>14</v>
      </c>
      <c r="B16" s="2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s="15" customFormat="1" ht="12.75" x14ac:dyDescent="0.2">
      <c r="A17" s="15" t="s">
        <v>10</v>
      </c>
      <c r="B17" s="24"/>
      <c r="C17" s="16">
        <v>0</v>
      </c>
      <c r="D17" s="16">
        <v>0</v>
      </c>
      <c r="E17" s="16">
        <v>0</v>
      </c>
      <c r="F17" s="16">
        <f>F19*(1.15/1.075)</f>
        <v>57499999.999999993</v>
      </c>
      <c r="G17" s="16">
        <f t="shared" ref="G17:H17" si="2">G19*(1.15/1.075)</f>
        <v>201249999.99999997</v>
      </c>
      <c r="H17" s="16">
        <f t="shared" si="2"/>
        <v>69958333.333333343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f t="shared" ref="N17:AJ17" si="3">N19*(1.15/1.075)</f>
        <v>7769469.6969696963</v>
      </c>
      <c r="O17" s="16">
        <f t="shared" si="3"/>
        <v>7769469.6969696963</v>
      </c>
      <c r="P17" s="16">
        <f t="shared" si="3"/>
        <v>7769469.6969696963</v>
      </c>
      <c r="Q17" s="16">
        <f t="shared" si="3"/>
        <v>7769469.6969696963</v>
      </c>
      <c r="R17" s="16">
        <f t="shared" si="3"/>
        <v>7769469.6969696963</v>
      </c>
      <c r="S17" s="16">
        <f t="shared" si="3"/>
        <v>7769469.6969696963</v>
      </c>
      <c r="T17" s="16">
        <f t="shared" si="3"/>
        <v>7769469.6969696963</v>
      </c>
      <c r="U17" s="16">
        <f t="shared" si="3"/>
        <v>7769469.6969696963</v>
      </c>
      <c r="V17" s="16">
        <f t="shared" si="3"/>
        <v>7769469.6969696963</v>
      </c>
      <c r="W17" s="16">
        <f t="shared" si="3"/>
        <v>7769469.6969696963</v>
      </c>
      <c r="X17" s="16">
        <f t="shared" si="3"/>
        <v>7769469.6969696963</v>
      </c>
      <c r="Y17" s="16">
        <f t="shared" si="3"/>
        <v>7769469.6969696963</v>
      </c>
      <c r="Z17" s="16">
        <f t="shared" si="3"/>
        <v>7769469.6969696963</v>
      </c>
      <c r="AA17" s="16">
        <f t="shared" si="3"/>
        <v>7769469.6969696963</v>
      </c>
      <c r="AB17" s="16">
        <f t="shared" si="3"/>
        <v>7769469.6969696963</v>
      </c>
      <c r="AC17" s="16">
        <f t="shared" si="3"/>
        <v>7769469.6969696963</v>
      </c>
      <c r="AD17" s="16">
        <f t="shared" si="3"/>
        <v>7769469.6969696963</v>
      </c>
      <c r="AE17" s="16">
        <f t="shared" si="3"/>
        <v>7769469.6969696963</v>
      </c>
      <c r="AF17" s="16">
        <f t="shared" si="3"/>
        <v>7769469.6969696963</v>
      </c>
      <c r="AG17" s="16">
        <f t="shared" si="3"/>
        <v>7769469.6969696963</v>
      </c>
      <c r="AH17" s="16">
        <f t="shared" si="3"/>
        <v>7769469.6969696963</v>
      </c>
      <c r="AI17" s="16">
        <f t="shared" si="3"/>
        <v>7769469.6969696963</v>
      </c>
      <c r="AJ17" s="16">
        <f t="shared" si="3"/>
        <v>7769469.6969696963</v>
      </c>
    </row>
    <row r="18" spans="1:36" s="15" customFormat="1" ht="12.75" x14ac:dyDescent="0.2">
      <c r="A18" s="15" t="s">
        <v>11</v>
      </c>
      <c r="B18" s="24"/>
      <c r="C18" s="16">
        <v>0</v>
      </c>
      <c r="D18" s="16">
        <v>0</v>
      </c>
      <c r="E18" s="16">
        <v>0</v>
      </c>
      <c r="F18" s="16">
        <v>50000000</v>
      </c>
      <c r="G18" s="16">
        <v>175000000</v>
      </c>
      <c r="H18" s="16">
        <v>60833333.333333343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6756060.6060606064</v>
      </c>
      <c r="O18" s="16">
        <v>6756060.6060606064</v>
      </c>
      <c r="P18" s="16">
        <v>6756060.6060606064</v>
      </c>
      <c r="Q18" s="16">
        <v>6756060.6060606064</v>
      </c>
      <c r="R18" s="16">
        <v>6756060.6060606064</v>
      </c>
      <c r="S18" s="16">
        <v>6756060.6060606064</v>
      </c>
      <c r="T18" s="16">
        <v>6756060.6060606064</v>
      </c>
      <c r="U18" s="16">
        <v>6756060.6060606064</v>
      </c>
      <c r="V18" s="16">
        <v>6756060.6060606064</v>
      </c>
      <c r="W18" s="16">
        <v>6756060.6060606064</v>
      </c>
      <c r="X18" s="16">
        <v>6756060.6060606064</v>
      </c>
      <c r="Y18" s="16">
        <v>6756060.6060606064</v>
      </c>
      <c r="Z18" s="16">
        <v>6756060.6060606064</v>
      </c>
      <c r="AA18" s="16">
        <v>6756060.6060606064</v>
      </c>
      <c r="AB18" s="16">
        <v>6756060.6060606064</v>
      </c>
      <c r="AC18" s="16">
        <v>6756060.6060606064</v>
      </c>
      <c r="AD18" s="16">
        <v>6756060.6060606064</v>
      </c>
      <c r="AE18" s="16">
        <v>6756060.6060606064</v>
      </c>
      <c r="AF18" s="16">
        <v>6756060.6060606064</v>
      </c>
      <c r="AG18" s="16">
        <v>6756060.6060606064</v>
      </c>
      <c r="AH18" s="16">
        <v>6756060.6060606064</v>
      </c>
      <c r="AI18" s="16">
        <v>6756060.6060606064</v>
      </c>
      <c r="AJ18" s="16">
        <v>6756060.6060606064</v>
      </c>
    </row>
    <row r="19" spans="1:36" s="15" customFormat="1" ht="12.75" x14ac:dyDescent="0.2">
      <c r="A19" s="15" t="s">
        <v>12</v>
      </c>
      <c r="B19" s="24"/>
      <c r="C19" s="16">
        <v>0</v>
      </c>
      <c r="D19" s="16">
        <v>0</v>
      </c>
      <c r="E19" s="16">
        <v>0</v>
      </c>
      <c r="F19" s="16">
        <f>F18*1.075</f>
        <v>53750000</v>
      </c>
      <c r="G19" s="16">
        <f t="shared" ref="G19:H19" si="4">G18*1.075</f>
        <v>188125000</v>
      </c>
      <c r="H19" s="16">
        <f t="shared" si="4"/>
        <v>65395833.333333343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f>N18*1.075</f>
        <v>7262765.1515151514</v>
      </c>
      <c r="O19" s="16">
        <f t="shared" ref="O19:AJ19" si="5">O18*1.075</f>
        <v>7262765.1515151514</v>
      </c>
      <c r="P19" s="16">
        <f t="shared" si="5"/>
        <v>7262765.1515151514</v>
      </c>
      <c r="Q19" s="16">
        <f t="shared" si="5"/>
        <v>7262765.1515151514</v>
      </c>
      <c r="R19" s="16">
        <f t="shared" si="5"/>
        <v>7262765.1515151514</v>
      </c>
      <c r="S19" s="16">
        <f t="shared" si="5"/>
        <v>7262765.1515151514</v>
      </c>
      <c r="T19" s="16">
        <f t="shared" si="5"/>
        <v>7262765.1515151514</v>
      </c>
      <c r="U19" s="16">
        <f t="shared" si="5"/>
        <v>7262765.1515151514</v>
      </c>
      <c r="V19" s="16">
        <f t="shared" si="5"/>
        <v>7262765.1515151514</v>
      </c>
      <c r="W19" s="16">
        <f t="shared" si="5"/>
        <v>7262765.1515151514</v>
      </c>
      <c r="X19" s="16">
        <f t="shared" si="5"/>
        <v>7262765.1515151514</v>
      </c>
      <c r="Y19" s="16">
        <f t="shared" si="5"/>
        <v>7262765.1515151514</v>
      </c>
      <c r="Z19" s="16">
        <f t="shared" si="5"/>
        <v>7262765.1515151514</v>
      </c>
      <c r="AA19" s="16">
        <f t="shared" si="5"/>
        <v>7262765.1515151514</v>
      </c>
      <c r="AB19" s="16">
        <f t="shared" si="5"/>
        <v>7262765.1515151514</v>
      </c>
      <c r="AC19" s="16">
        <f t="shared" si="5"/>
        <v>7262765.1515151514</v>
      </c>
      <c r="AD19" s="16">
        <f t="shared" si="5"/>
        <v>7262765.1515151514</v>
      </c>
      <c r="AE19" s="16">
        <f t="shared" si="5"/>
        <v>7262765.1515151514</v>
      </c>
      <c r="AF19" s="16">
        <f t="shared" si="5"/>
        <v>7262765.1515151514</v>
      </c>
      <c r="AG19" s="16">
        <f t="shared" si="5"/>
        <v>7262765.1515151514</v>
      </c>
      <c r="AH19" s="16">
        <f t="shared" si="5"/>
        <v>7262765.1515151514</v>
      </c>
      <c r="AI19" s="16">
        <f t="shared" si="5"/>
        <v>7262765.1515151514</v>
      </c>
      <c r="AJ19" s="16">
        <f t="shared" si="5"/>
        <v>7262765.1515151514</v>
      </c>
    </row>
    <row r="20" spans="1:36" s="15" customFormat="1" ht="12.75" x14ac:dyDescent="0.2">
      <c r="A20" s="18"/>
      <c r="B20" s="2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s="15" customFormat="1" ht="12.75" x14ac:dyDescent="0.2">
      <c r="A21" s="17" t="s">
        <v>84</v>
      </c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s="15" customFormat="1" ht="12.75" x14ac:dyDescent="0.2">
      <c r="A22" s="15" t="s">
        <v>85</v>
      </c>
      <c r="B22" s="52"/>
      <c r="C22" s="16">
        <v>0</v>
      </c>
      <c r="D22" s="16">
        <v>0</v>
      </c>
      <c r="E22" s="16">
        <v>137200000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1:36" s="15" customFormat="1" ht="12.75" x14ac:dyDescent="0.2">
      <c r="A23" s="15" t="s">
        <v>86</v>
      </c>
      <c r="B23" s="52"/>
      <c r="C23" s="16">
        <v>0</v>
      </c>
      <c r="D23" s="16">
        <v>0</v>
      </c>
      <c r="E23" s="16">
        <v>205800000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1:36" s="15" customFormat="1" ht="12.75" x14ac:dyDescent="0.2">
      <c r="A24" s="18"/>
      <c r="B24" s="2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s="15" customFormat="1" ht="12.75" x14ac:dyDescent="0.2">
      <c r="A25" s="17" t="s">
        <v>15</v>
      </c>
      <c r="B25" s="2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s="15" customFormat="1" ht="12.75" x14ac:dyDescent="0.2">
      <c r="A26" s="15" t="s">
        <v>10</v>
      </c>
      <c r="B26" s="24"/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1:36" s="15" customFormat="1" ht="12.75" x14ac:dyDescent="0.2">
      <c r="A27" s="15" t="s">
        <v>11</v>
      </c>
      <c r="B27" s="24"/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16513924.443844272</v>
      </c>
      <c r="J27" s="16">
        <v>16513924.443844272</v>
      </c>
      <c r="K27" s="16">
        <v>16513924.443844272</v>
      </c>
      <c r="L27" s="16">
        <v>16513924.443844272</v>
      </c>
      <c r="M27" s="16">
        <v>16513924.443844272</v>
      </c>
      <c r="N27" s="16">
        <v>16513924.443844272</v>
      </c>
      <c r="O27" s="16">
        <v>16513924.443844272</v>
      </c>
      <c r="P27" s="16">
        <v>16513924.443844272</v>
      </c>
      <c r="Q27" s="16">
        <v>16513924.443844272</v>
      </c>
      <c r="R27" s="16">
        <v>16513924.443844272</v>
      </c>
      <c r="S27" s="16">
        <v>16513924.443844272</v>
      </c>
      <c r="T27" s="16">
        <v>16513924.443844272</v>
      </c>
      <c r="U27" s="16">
        <v>16513924.443844272</v>
      </c>
      <c r="V27" s="16">
        <v>16513924.443844272</v>
      </c>
      <c r="W27" s="16">
        <v>16513924.443844272</v>
      </c>
      <c r="X27" s="16">
        <v>16513924.443844272</v>
      </c>
      <c r="Y27" s="16">
        <v>16513924.443844272</v>
      </c>
      <c r="Z27" s="16">
        <v>16513924.443844272</v>
      </c>
      <c r="AA27" s="16">
        <v>16513924.443844272</v>
      </c>
      <c r="AB27" s="16">
        <v>16513924.443844272</v>
      </c>
      <c r="AC27" s="16">
        <v>16513924.443844272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1:36" s="15" customFormat="1" ht="12.75" x14ac:dyDescent="0.2">
      <c r="A28" s="15" t="s">
        <v>12</v>
      </c>
      <c r="B28" s="24"/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1:36" s="15" customFormat="1" ht="12.75" x14ac:dyDescent="0.2">
      <c r="A29" s="18"/>
      <c r="B29" s="2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s="15" customFormat="1" ht="12.75" x14ac:dyDescent="0.2">
      <c r="A30" s="17" t="s">
        <v>16</v>
      </c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s="15" customFormat="1" ht="12.75" x14ac:dyDescent="0.2">
      <c r="A31" s="15" t="s">
        <v>10</v>
      </c>
      <c r="B31" s="24"/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1:36" s="15" customFormat="1" ht="12.75" x14ac:dyDescent="0.2">
      <c r="A32" s="15" t="s">
        <v>11</v>
      </c>
      <c r="B32" s="24"/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17808186.65178474</v>
      </c>
      <c r="J32" s="16">
        <v>17808186.65178474</v>
      </c>
      <c r="K32" s="16">
        <v>17808186.65178474</v>
      </c>
      <c r="L32" s="16">
        <v>17808186.65178474</v>
      </c>
      <c r="M32" s="16">
        <v>17808186.65178474</v>
      </c>
      <c r="N32" s="16">
        <v>17808186.65178474</v>
      </c>
      <c r="O32" s="16">
        <v>17808186.65178474</v>
      </c>
      <c r="P32" s="16">
        <v>17808186.65178474</v>
      </c>
      <c r="Q32" s="16">
        <v>17808186.65178474</v>
      </c>
      <c r="R32" s="16">
        <v>17808186.65178474</v>
      </c>
      <c r="S32" s="16">
        <v>17808186.65178474</v>
      </c>
      <c r="T32" s="16">
        <v>17808186.65178474</v>
      </c>
      <c r="U32" s="16">
        <v>17808186.65178474</v>
      </c>
      <c r="V32" s="16">
        <v>17808186.65178474</v>
      </c>
      <c r="W32" s="16">
        <v>17808186.65178474</v>
      </c>
      <c r="X32" s="16">
        <v>17808186.65178474</v>
      </c>
      <c r="Y32" s="16">
        <v>17808186.65178474</v>
      </c>
      <c r="Z32" s="16">
        <v>17808186.65178474</v>
      </c>
      <c r="AA32" s="16">
        <v>17808186.65178474</v>
      </c>
      <c r="AB32" s="16">
        <v>17808186.65178474</v>
      </c>
      <c r="AC32" s="16">
        <v>17808186.65178474</v>
      </c>
      <c r="AD32" s="16">
        <v>17808186.65178474</v>
      </c>
      <c r="AE32" s="16">
        <v>17808186.65178474</v>
      </c>
      <c r="AF32" s="16">
        <v>17808186.65178474</v>
      </c>
      <c r="AG32" s="16">
        <v>17808186.65178474</v>
      </c>
      <c r="AH32" s="16">
        <v>17808186.65178474</v>
      </c>
      <c r="AI32" s="16">
        <v>17808186.65178474</v>
      </c>
      <c r="AJ32" s="16">
        <v>17808186.65178474</v>
      </c>
    </row>
    <row r="33" spans="1:36" s="15" customFormat="1" ht="12.75" x14ac:dyDescent="0.2">
      <c r="A33" s="15" t="s">
        <v>12</v>
      </c>
      <c r="B33" s="24"/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2500000</v>
      </c>
      <c r="J33" s="16">
        <v>2500000</v>
      </c>
      <c r="K33" s="16">
        <v>2500000</v>
      </c>
      <c r="L33" s="16">
        <v>2500000</v>
      </c>
      <c r="M33" s="16">
        <v>2500000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1:36" s="15" customFormat="1" ht="12.75" x14ac:dyDescent="0.2">
      <c r="A34" s="18"/>
      <c r="B34" s="25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x14ac:dyDescent="0.3">
      <c r="A35" s="3" t="s">
        <v>17</v>
      </c>
      <c r="B35" s="2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3">
      <c r="A36" s="1" t="s">
        <v>10</v>
      </c>
      <c r="B36" s="28">
        <f>NPV(0.04,D36:AJ36)</f>
        <v>328612079.27601981</v>
      </c>
      <c r="C36" s="5">
        <f>C7-C12</f>
        <v>0</v>
      </c>
      <c r="D36" s="5">
        <f>D7-D12</f>
        <v>0</v>
      </c>
      <c r="E36" s="5">
        <f>E7-E12</f>
        <v>0</v>
      </c>
      <c r="F36" s="5">
        <f>F7-F12</f>
        <v>0</v>
      </c>
      <c r="G36" s="5">
        <f>G7-G12</f>
        <v>0</v>
      </c>
      <c r="H36" s="5">
        <f>H7-H12</f>
        <v>0</v>
      </c>
      <c r="I36" s="5">
        <f>I7-I12</f>
        <v>18840381.844705686</v>
      </c>
      <c r="J36" s="5">
        <f>J7-J12</f>
        <v>18735829.214128613</v>
      </c>
      <c r="K36" s="5">
        <f>K7-K12</f>
        <v>22780363.991989076</v>
      </c>
      <c r="L36" s="5">
        <f>L7-L12</f>
        <v>22806033.990225136</v>
      </c>
      <c r="M36" s="5">
        <f>M7-M12</f>
        <v>22804738.977992609</v>
      </c>
      <c r="N36" s="5">
        <f>N7-N12</f>
        <v>22778981.208057195</v>
      </c>
      <c r="O36" s="5">
        <f>O7-O12</f>
        <v>22731127.261656046</v>
      </c>
      <c r="P36" s="5">
        <f>P7-P12</f>
        <v>24871932.785133392</v>
      </c>
      <c r="Q36" s="5">
        <f>Q7-Q12</f>
        <v>24820581.631426573</v>
      </c>
      <c r="R36" s="5">
        <f>R7-R12</f>
        <v>24752590.550354853</v>
      </c>
      <c r="S36" s="5">
        <f>S7-S12</f>
        <v>24667459.720564723</v>
      </c>
      <c r="T36" s="5">
        <f>T7-T12</f>
        <v>24564681.194954768</v>
      </c>
      <c r="U36" s="5">
        <f>U7-U12</f>
        <v>25687302.795106798</v>
      </c>
      <c r="V36" s="5">
        <f>V7-V12</f>
        <v>25576369.133056343</v>
      </c>
      <c r="W36" s="5">
        <f>W7-W12</f>
        <v>25467381.450251341</v>
      </c>
      <c r="X36" s="5">
        <f>X7-X12</f>
        <v>25360570.43988423</v>
      </c>
      <c r="Y36" s="5">
        <f>Y7-Y12</f>
        <v>25256192.315882027</v>
      </c>
      <c r="Z36" s="5">
        <f>Z7-Z12</f>
        <v>25878554.075241059</v>
      </c>
      <c r="AA36" s="5">
        <f>AA7-AA12</f>
        <v>25782034.310542762</v>
      </c>
      <c r="AB36" s="5">
        <f>AB7-AB12</f>
        <v>25666881.483159155</v>
      </c>
      <c r="AC36" s="5">
        <f>AC7-AC12</f>
        <v>25532549.739382893</v>
      </c>
      <c r="AD36" s="5">
        <f>AD7-AD12</f>
        <v>25378482.909613878</v>
      </c>
      <c r="AE36" s="5">
        <f>AE7-AE12</f>
        <v>26177953.07214421</v>
      </c>
      <c r="AF36" s="5">
        <f>AF7-AF12</f>
        <v>26032246.75734821</v>
      </c>
      <c r="AG36" s="5">
        <f>AG7-AG12</f>
        <v>25872552.055329591</v>
      </c>
      <c r="AH36" s="5">
        <f>AH7-AH12</f>
        <v>25698526.861901313</v>
      </c>
      <c r="AI36" s="5">
        <f>AI7-AI12</f>
        <v>25509822.727312714</v>
      </c>
      <c r="AJ36" s="5">
        <f>AJ7-AJ12</f>
        <v>26448973.860021949</v>
      </c>
    </row>
    <row r="37" spans="1:36" x14ac:dyDescent="0.3">
      <c r="A37" s="1" t="s">
        <v>11</v>
      </c>
      <c r="B37" s="28">
        <f t="shared" ref="B37:B38" si="6">NPV(0.04,D37:AJ37)</f>
        <v>486836638.46864569</v>
      </c>
      <c r="C37" s="5">
        <f>C8-C13</f>
        <v>0</v>
      </c>
      <c r="D37" s="5">
        <f>D8-D13</f>
        <v>0</v>
      </c>
      <c r="E37" s="5">
        <f>E8-E13</f>
        <v>0</v>
      </c>
      <c r="F37" s="5">
        <f>F8-F13</f>
        <v>0</v>
      </c>
      <c r="G37" s="5">
        <f>G8-G13</f>
        <v>0</v>
      </c>
      <c r="H37" s="5">
        <f>H8-H13</f>
        <v>0</v>
      </c>
      <c r="I37" s="5">
        <f>I8-I13</f>
        <v>29086489.52805914</v>
      </c>
      <c r="J37" s="5">
        <f>J8-J13</f>
        <v>29153810.416176975</v>
      </c>
      <c r="K37" s="5">
        <f>K8-K13</f>
        <v>32994587.358310759</v>
      </c>
      <c r="L37" s="5">
        <f>L8-L13</f>
        <v>33173228.970246449</v>
      </c>
      <c r="M37" s="5">
        <f>M8-M13</f>
        <v>33327422.824463174</v>
      </c>
      <c r="N37" s="5">
        <f>N8-N13</f>
        <v>33459714.230383635</v>
      </c>
      <c r="O37" s="5">
        <f>O8-O13</f>
        <v>33572513.545805171</v>
      </c>
      <c r="P37" s="5">
        <f>P8-P13</f>
        <v>35675851.398122951</v>
      </c>
      <c r="Q37" s="5">
        <f>Q8-Q13</f>
        <v>35773211.646461934</v>
      </c>
      <c r="R37" s="5">
        <f>R8-R13</f>
        <v>35856301.243601933</v>
      </c>
      <c r="S37" s="5">
        <f>S8-S13</f>
        <v>35924659.697368041</v>
      </c>
      <c r="T37" s="5">
        <f>T8-T13</f>
        <v>35977819.033988342</v>
      </c>
      <c r="U37" s="5">
        <f>U8-U13</f>
        <v>37145816.433487907</v>
      </c>
      <c r="V37" s="5">
        <f>V8-V13</f>
        <v>37218201.457842767</v>
      </c>
      <c r="W37" s="5">
        <f>W8-W13</f>
        <v>37295601.838414475</v>
      </c>
      <c r="X37" s="5">
        <f>X8-X13</f>
        <v>37378301.407033175</v>
      </c>
      <c r="Y37" s="5">
        <f>Y8-Y13</f>
        <v>37466610.412080064</v>
      </c>
      <c r="Z37" s="5">
        <f>Z8-Z13</f>
        <v>38219070.420608878</v>
      </c>
      <c r="AA37" s="5">
        <f>AA8-AA13</f>
        <v>38311620.160350353</v>
      </c>
      <c r="AB37" s="5">
        <f>AB8-AB13</f>
        <v>38388663.423411891</v>
      </c>
      <c r="AC37" s="5">
        <f>AC8-AC13</f>
        <v>38449707.678920552</v>
      </c>
      <c r="AD37" s="5">
        <f>AD8-AD13</f>
        <v>38494250.970033184</v>
      </c>
      <c r="AE37" s="5">
        <f>AE8-AE13</f>
        <v>39407089.699653491</v>
      </c>
      <c r="AF37" s="5">
        <f>AF8-AF13</f>
        <v>39462691.454045027</v>
      </c>
      <c r="AG37" s="5">
        <f>AG8-AG13</f>
        <v>39507615.536772162</v>
      </c>
      <c r="AH37" s="5">
        <f>AH8-AH13</f>
        <v>39541575.970848888</v>
      </c>
      <c r="AI37" s="5">
        <f>AI8-AI13</f>
        <v>39564281.366668999</v>
      </c>
      <c r="AJ37" s="5">
        <f>AJ8-AJ13</f>
        <v>40614424.930974394</v>
      </c>
    </row>
    <row r="38" spans="1:36" x14ac:dyDescent="0.3">
      <c r="A38" s="1" t="s">
        <v>12</v>
      </c>
      <c r="B38" s="28">
        <f t="shared" si="6"/>
        <v>368168219.07417655</v>
      </c>
      <c r="C38" s="5">
        <f>C9-C14</f>
        <v>0</v>
      </c>
      <c r="D38" s="5">
        <f>D9-D14</f>
        <v>0</v>
      </c>
      <c r="E38" s="5">
        <f>E9-E14</f>
        <v>0</v>
      </c>
      <c r="F38" s="5">
        <f>F9-F14</f>
        <v>0</v>
      </c>
      <c r="G38" s="5">
        <f>G9-G14</f>
        <v>0</v>
      </c>
      <c r="H38" s="5">
        <f>H9-H14</f>
        <v>0</v>
      </c>
      <c r="I38" s="5">
        <f>I9-I14</f>
        <v>21401908.765544057</v>
      </c>
      <c r="J38" s="5">
        <f>J9-J14</f>
        <v>21340324.514640704</v>
      </c>
      <c r="K38" s="5">
        <f>K9-K14</f>
        <v>25333919.833569512</v>
      </c>
      <c r="L38" s="5">
        <f>L9-L14</f>
        <v>25397832.735230476</v>
      </c>
      <c r="M38" s="5">
        <f>M9-M14</f>
        <v>25435409.939610258</v>
      </c>
      <c r="N38" s="5">
        <f>N9-N14</f>
        <v>25449164.463638812</v>
      </c>
      <c r="O38" s="5">
        <f>O9-O14</f>
        <v>25441473.832693338</v>
      </c>
      <c r="P38" s="5">
        <f>P9-P14</f>
        <v>27572912.438380793</v>
      </c>
      <c r="Q38" s="5">
        <f>Q9-Q14</f>
        <v>27558739.135185421</v>
      </c>
      <c r="R38" s="5">
        <f>R9-R14</f>
        <v>27528518.223666638</v>
      </c>
      <c r="S38" s="5">
        <f>S9-S14</f>
        <v>27481759.714765564</v>
      </c>
      <c r="T38" s="5">
        <f>T9-T14</f>
        <v>27417965.654713184</v>
      </c>
      <c r="U38" s="5">
        <f>U9-U14</f>
        <v>28551931.204702094</v>
      </c>
      <c r="V38" s="5">
        <f>V9-V14</f>
        <v>28486827.214252964</v>
      </c>
      <c r="W38" s="5">
        <f>W9-W14</f>
        <v>28424436.547292128</v>
      </c>
      <c r="X38" s="5">
        <f>X9-X14</f>
        <v>28365003.181671485</v>
      </c>
      <c r="Y38" s="5">
        <f>Y9-Y14</f>
        <v>28308796.839931563</v>
      </c>
      <c r="Z38" s="5">
        <f>Z9-Z14</f>
        <v>28963683.161583036</v>
      </c>
      <c r="AA38" s="5">
        <f>AA9-AA14</f>
        <v>28914430.772994667</v>
      </c>
      <c r="AB38" s="5">
        <f>AB9-AB14</f>
        <v>28847326.96822235</v>
      </c>
      <c r="AC38" s="5">
        <f>AC9-AC14</f>
        <v>28761839.224267334</v>
      </c>
      <c r="AD38" s="5">
        <f>AD9-AD14</f>
        <v>28657424.924718738</v>
      </c>
      <c r="AE38" s="5">
        <f>AE9-AE14</f>
        <v>29485237.229021549</v>
      </c>
      <c r="AF38" s="5">
        <f>AF9-AF14</f>
        <v>29389857.931522429</v>
      </c>
      <c r="AG38" s="5">
        <f>AG9-AG14</f>
        <v>29281317.925690264</v>
      </c>
      <c r="AH38" s="5">
        <f>AH9-AH14</f>
        <v>29159289.139138222</v>
      </c>
      <c r="AI38" s="5">
        <f>AI9-AI14</f>
        <v>29023437.387151808</v>
      </c>
      <c r="AJ38" s="5">
        <f>AJ9-AJ14</f>
        <v>29990336.627760082</v>
      </c>
    </row>
    <row r="39" spans="1:36" x14ac:dyDescent="0.3">
      <c r="A39" s="13"/>
      <c r="B39" s="2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x14ac:dyDescent="0.3">
      <c r="A40" s="6" t="s">
        <v>18</v>
      </c>
      <c r="B40" s="3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3">
      <c r="A41" s="2" t="s">
        <v>10</v>
      </c>
      <c r="B41" s="22">
        <f>NPV(0.04,D41:AJ41)</f>
        <v>-30015429.446011804</v>
      </c>
      <c r="C41" s="20">
        <f>C36-C17-C26-C31</f>
        <v>0</v>
      </c>
      <c r="D41" s="20">
        <f>D36-D17-D26-D31</f>
        <v>0</v>
      </c>
      <c r="E41" s="20">
        <f>E36-E17-E26-E31</f>
        <v>0</v>
      </c>
      <c r="F41" s="20">
        <f>F36-F17-F26-F31</f>
        <v>-57499999.999999993</v>
      </c>
      <c r="G41" s="20">
        <f>G36-G17-G26-G31</f>
        <v>-201249999.99999997</v>
      </c>
      <c r="H41" s="20">
        <f>H36-H17-H26-H31</f>
        <v>-69958333.333333343</v>
      </c>
      <c r="I41" s="20">
        <f>I36-I17-I26-I31</f>
        <v>18840381.844705686</v>
      </c>
      <c r="J41" s="20">
        <f>J36-J17-J26-J31</f>
        <v>18735829.214128613</v>
      </c>
      <c r="K41" s="20">
        <f>K36-K17-K26-K31</f>
        <v>22780363.991989076</v>
      </c>
      <c r="L41" s="20">
        <f>L36-L17-L26-L31</f>
        <v>22806033.990225136</v>
      </c>
      <c r="M41" s="20">
        <f>M36-M17-M26-M31</f>
        <v>22804738.977992609</v>
      </c>
      <c r="N41" s="20">
        <f>N36-N17-N26-N31</f>
        <v>15009511.5110875</v>
      </c>
      <c r="O41" s="20">
        <f>O36-O17-O26-O31</f>
        <v>14961657.564686351</v>
      </c>
      <c r="P41" s="20">
        <f>P36-P17-P26-P31</f>
        <v>17102463.088163696</v>
      </c>
      <c r="Q41" s="20">
        <f>Q36-Q17-Q26-Q31</f>
        <v>17051111.934456877</v>
      </c>
      <c r="R41" s="20">
        <f>R36-R17-R26-R31</f>
        <v>16983120.853385158</v>
      </c>
      <c r="S41" s="20">
        <f>S36-S17-S26-S31</f>
        <v>16897990.023595028</v>
      </c>
      <c r="T41" s="20">
        <f>T36-T17-T26-T31</f>
        <v>16795211.497985072</v>
      </c>
      <c r="U41" s="20">
        <f>U36-U17-U26-U31</f>
        <v>17917833.098137103</v>
      </c>
      <c r="V41" s="20">
        <f>V36-V17-V26-V31</f>
        <v>17806899.436086647</v>
      </c>
      <c r="W41" s="20">
        <f>W36-W17-W26-W31</f>
        <v>17697911.753281645</v>
      </c>
      <c r="X41" s="20">
        <f>X36-X17-X26-X31</f>
        <v>17591100.742914535</v>
      </c>
      <c r="Y41" s="20">
        <f>Y36-Y17-Y26-Y31</f>
        <v>17486722.618912332</v>
      </c>
      <c r="Z41" s="20">
        <f>Z36-Z17-Z26-Z31</f>
        <v>18109084.378271364</v>
      </c>
      <c r="AA41" s="20">
        <f>AA36-AA17-AA26-AA31</f>
        <v>18012564.613573067</v>
      </c>
      <c r="AB41" s="20">
        <f>AB36-AB17-AB26-AB31</f>
        <v>17897411.786189459</v>
      </c>
      <c r="AC41" s="20">
        <f>AC36-AC17-AC26-AC31</f>
        <v>17763080.042413197</v>
      </c>
      <c r="AD41" s="20">
        <f>AD36-AD17-AD26-AD31</f>
        <v>17609013.212644182</v>
      </c>
      <c r="AE41" s="20">
        <f>AE36-AE17-AE26-AE31</f>
        <v>18408483.375174515</v>
      </c>
      <c r="AF41" s="20">
        <f>AF36-AF17-AF26-AF31</f>
        <v>18262777.060378514</v>
      </c>
      <c r="AG41" s="20">
        <f>AG36-AG17-AG26-AG31</f>
        <v>18103082.358359896</v>
      </c>
      <c r="AH41" s="20">
        <f>AH36-AH17-AH26-AH31</f>
        <v>17929057.164931618</v>
      </c>
      <c r="AI41" s="20">
        <f>AI36-AI17-AI26-AI31</f>
        <v>17740353.030343018</v>
      </c>
      <c r="AJ41" s="20">
        <f>AJ36-AJ17-AJ26-AJ31</f>
        <v>18679504.163052253</v>
      </c>
    </row>
    <row r="42" spans="1:36" x14ac:dyDescent="0.3">
      <c r="A42" s="2" t="s">
        <v>11</v>
      </c>
      <c r="B42" s="22">
        <f>NPV(0.04,D42:AJ42)</f>
        <v>-15291215.462346723</v>
      </c>
      <c r="C42" s="20">
        <f>C37-C18-C27-C32</f>
        <v>0</v>
      </c>
      <c r="D42" s="20">
        <f>D37-D18-D27-D32</f>
        <v>0</v>
      </c>
      <c r="E42" s="20">
        <f>E37-E18-E27-E32</f>
        <v>0</v>
      </c>
      <c r="F42" s="20">
        <f>F37-F27-F32</f>
        <v>0</v>
      </c>
      <c r="G42" s="20">
        <f>G37-G27-G32</f>
        <v>0</v>
      </c>
      <c r="H42" s="20">
        <f>H37-H27-H32</f>
        <v>0</v>
      </c>
      <c r="I42" s="20">
        <f>I37-I18-I27-I32</f>
        <v>-5235621.5675698724</v>
      </c>
      <c r="J42" s="20">
        <f>J37-J18-J27-J32</f>
        <v>-5168300.6794520374</v>
      </c>
      <c r="K42" s="20">
        <f>K37-K18-K27-K32</f>
        <v>-1327523.7373182531</v>
      </c>
      <c r="L42" s="20">
        <f>L37-L18-L27-L32</f>
        <v>-1148882.1253825631</v>
      </c>
      <c r="M42" s="20">
        <f>M37-M18-M27-M32</f>
        <v>-994688.27116584033</v>
      </c>
      <c r="N42" s="20">
        <f>N37-N18-N27-N32</f>
        <v>-7618457.4713059831</v>
      </c>
      <c r="O42" s="20">
        <f>O37-O18-O27-O32</f>
        <v>-7505658.1558844466</v>
      </c>
      <c r="P42" s="20">
        <f>P37-P18-P27-P32</f>
        <v>-5402320.3035666663</v>
      </c>
      <c r="Q42" s="20">
        <f>Q37-Q18-Q27-Q32</f>
        <v>-5304960.0552276839</v>
      </c>
      <c r="R42" s="20">
        <f>R37-R18-R27-R32</f>
        <v>-5221870.4580876846</v>
      </c>
      <c r="S42" s="20">
        <f>S37-S18-S27-S32</f>
        <v>-5153512.004321577</v>
      </c>
      <c r="T42" s="20">
        <f>T37-T18-T27-T32</f>
        <v>-5100352.667701276</v>
      </c>
      <c r="U42" s="20">
        <f>U37-U18-U27-U32</f>
        <v>-3932355.2682017107</v>
      </c>
      <c r="V42" s="20">
        <f>V37-V18-V27-V32</f>
        <v>-3859970.2438468505</v>
      </c>
      <c r="W42" s="20">
        <f>W37-W18-W27-W32</f>
        <v>-3782569.8632751424</v>
      </c>
      <c r="X42" s="20">
        <f>X37-X18-X27-X32</f>
        <v>-3699870.2946564425</v>
      </c>
      <c r="Y42" s="20">
        <f>Y37-Y18-Y27-Y32</f>
        <v>-3611561.2896095533</v>
      </c>
      <c r="Z42" s="20">
        <f>Z37-Z18-Z27-Z32</f>
        <v>-2859101.2810807396</v>
      </c>
      <c r="AA42" s="20">
        <f>AA37-AA18-AA27-AA32</f>
        <v>-2766551.5413392652</v>
      </c>
      <c r="AB42" s="20">
        <f>AB37-AB18-AB27-AB32</f>
        <v>-2689508.2782777268</v>
      </c>
      <c r="AC42" s="20">
        <f>AC37-AC18-AC27-AC32</f>
        <v>-2628464.0227690656</v>
      </c>
      <c r="AD42" s="20">
        <f>AD37-AD18-AD27-AD32</f>
        <v>13930003.712187838</v>
      </c>
      <c r="AE42" s="20">
        <f>AE37-AE18-AE27-AE32</f>
        <v>14842842.441808145</v>
      </c>
      <c r="AF42" s="20">
        <f>AF37-AF18-AF27-AF32</f>
        <v>14898444.196199682</v>
      </c>
      <c r="AG42" s="20">
        <f>AG37-AG18-AG27-AG32</f>
        <v>14943368.278926816</v>
      </c>
      <c r="AH42" s="20">
        <f>AH37-AH18-AH27-AH32</f>
        <v>14977328.713003542</v>
      </c>
      <c r="AI42" s="20">
        <f>AI37-AI18-AI27-AI32</f>
        <v>15000034.108823653</v>
      </c>
      <c r="AJ42" s="20">
        <f>AJ37-AJ18-AJ27-AJ32</f>
        <v>16050177.673129044</v>
      </c>
    </row>
    <row r="43" spans="1:36" x14ac:dyDescent="0.3">
      <c r="A43" s="35" t="s">
        <v>12</v>
      </c>
      <c r="B43" s="36">
        <f>NPV(0.04,D43:AJ43)</f>
        <v>23781777.300125942</v>
      </c>
      <c r="C43" s="37">
        <f>C38-C19-C28-C33</f>
        <v>0</v>
      </c>
      <c r="D43" s="37">
        <f>D38-D19-D28-D33</f>
        <v>0</v>
      </c>
      <c r="E43" s="37">
        <f>E38-E19-E28-E33</f>
        <v>0</v>
      </c>
      <c r="F43" s="37">
        <f>F38-F19-F28-F33</f>
        <v>-53750000</v>
      </c>
      <c r="G43" s="37">
        <f>G38-G19-G28-G33</f>
        <v>-188125000</v>
      </c>
      <c r="H43" s="37">
        <f>H38-H19-H28-H33</f>
        <v>-65395833.333333343</v>
      </c>
      <c r="I43" s="37">
        <f>I38-I19-I28-I33</f>
        <v>18901908.765544057</v>
      </c>
      <c r="J43" s="37">
        <f>J38-J19-J28-J33</f>
        <v>18840324.514640704</v>
      </c>
      <c r="K43" s="37">
        <f>K38-K19-K28-K33</f>
        <v>22833919.833569512</v>
      </c>
      <c r="L43" s="37">
        <f>L38-L19-L28-L33</f>
        <v>22897832.735230476</v>
      </c>
      <c r="M43" s="37">
        <f>M38-M19-M28-M33</f>
        <v>22935409.939610258</v>
      </c>
      <c r="N43" s="37">
        <f>N38-N19-N28-N33</f>
        <v>18186399.31212366</v>
      </c>
      <c r="O43" s="37">
        <f>O38-O19-O28-O33</f>
        <v>18178708.681178186</v>
      </c>
      <c r="P43" s="37">
        <f>P38-P19-P28-P33</f>
        <v>20310147.28686564</v>
      </c>
      <c r="Q43" s="37">
        <f>Q38-Q19-Q28-Q33</f>
        <v>20295973.983670268</v>
      </c>
      <c r="R43" s="37">
        <f>R38-R19-R28-R33</f>
        <v>20265753.072151486</v>
      </c>
      <c r="S43" s="37">
        <f>S38-S19-S28-S33</f>
        <v>20218994.563250411</v>
      </c>
      <c r="T43" s="37">
        <f>T38-T19-T28-T33</f>
        <v>20155200.503198031</v>
      </c>
      <c r="U43" s="37">
        <f>U38-U19-U28-U33</f>
        <v>21289166.053186942</v>
      </c>
      <c r="V43" s="37">
        <f>V38-V19-V28-V33</f>
        <v>21224062.062737811</v>
      </c>
      <c r="W43" s="37">
        <f>W38-W19-W28-W33</f>
        <v>21161671.395776976</v>
      </c>
      <c r="X43" s="37">
        <f>X38-X19-X28-X33</f>
        <v>21102238.030156333</v>
      </c>
      <c r="Y43" s="37">
        <f>Y38-Y19-Y28-Y33</f>
        <v>21046031.68841641</v>
      </c>
      <c r="Z43" s="37">
        <f>Z38-Z19-Z28-Z33</f>
        <v>21700918.010067884</v>
      </c>
      <c r="AA43" s="37">
        <f>AA38-AA19-AA28-AA33</f>
        <v>21651665.621479515</v>
      </c>
      <c r="AB43" s="37">
        <f>AB38-AB19-AB28-AB33</f>
        <v>21584561.816707198</v>
      </c>
      <c r="AC43" s="37">
        <f>AC38-AC19-AC28-AC33</f>
        <v>21499074.072752181</v>
      </c>
      <c r="AD43" s="37">
        <f>AD38-AD19-AD28-AD33</f>
        <v>21394659.773203585</v>
      </c>
      <c r="AE43" s="37">
        <f>AE38-AE19-AE28-AE33</f>
        <v>22222472.077506397</v>
      </c>
      <c r="AF43" s="37">
        <f>AF38-AF19-AF28-AF33</f>
        <v>22127092.780007277</v>
      </c>
      <c r="AG43" s="37">
        <f>AG38-AG19-AG28-AG33</f>
        <v>22018552.774175111</v>
      </c>
      <c r="AH43" s="37">
        <f>AH38-AH19-AH28-AH33</f>
        <v>21896523.987623069</v>
      </c>
      <c r="AI43" s="37">
        <f>AI38-AI19-AI28-AI33</f>
        <v>21760672.235636655</v>
      </c>
      <c r="AJ43" s="37">
        <f>AJ38-AJ19-AJ28-AJ33</f>
        <v>22727571.47624493</v>
      </c>
    </row>
    <row r="44" spans="1:36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x14ac:dyDescent="0.3">
      <c r="A45" s="7" t="s">
        <v>104</v>
      </c>
      <c r="B45" s="23">
        <f>NPV(0.04,D45:AJ45)</f>
        <v>15291215.462346695</v>
      </c>
      <c r="C45" s="7"/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21">
        <f>PMT(0.04,28,NPV(0.04,I42:AJ42))</f>
        <v>1116487.4927313814</v>
      </c>
      <c r="J45" s="21">
        <f>I45</f>
        <v>1116487.4927313814</v>
      </c>
      <c r="K45" s="21">
        <f t="shared" ref="K45:AJ45" si="7">J45</f>
        <v>1116487.4927313814</v>
      </c>
      <c r="L45" s="21">
        <f t="shared" si="7"/>
        <v>1116487.4927313814</v>
      </c>
      <c r="M45" s="21">
        <f t="shared" si="7"/>
        <v>1116487.4927313814</v>
      </c>
      <c r="N45" s="21">
        <f t="shared" si="7"/>
        <v>1116487.4927313814</v>
      </c>
      <c r="O45" s="21">
        <f t="shared" si="7"/>
        <v>1116487.4927313814</v>
      </c>
      <c r="P45" s="21">
        <f t="shared" si="7"/>
        <v>1116487.4927313814</v>
      </c>
      <c r="Q45" s="21">
        <f t="shared" si="7"/>
        <v>1116487.4927313814</v>
      </c>
      <c r="R45" s="21">
        <f t="shared" si="7"/>
        <v>1116487.4927313814</v>
      </c>
      <c r="S45" s="21">
        <f t="shared" si="7"/>
        <v>1116487.4927313814</v>
      </c>
      <c r="T45" s="21">
        <f t="shared" si="7"/>
        <v>1116487.4927313814</v>
      </c>
      <c r="U45" s="21">
        <f t="shared" si="7"/>
        <v>1116487.4927313814</v>
      </c>
      <c r="V45" s="21">
        <f t="shared" si="7"/>
        <v>1116487.4927313814</v>
      </c>
      <c r="W45" s="21">
        <f t="shared" si="7"/>
        <v>1116487.4927313814</v>
      </c>
      <c r="X45" s="21">
        <f t="shared" si="7"/>
        <v>1116487.4927313814</v>
      </c>
      <c r="Y45" s="21">
        <f t="shared" si="7"/>
        <v>1116487.4927313814</v>
      </c>
      <c r="Z45" s="21">
        <f t="shared" si="7"/>
        <v>1116487.4927313814</v>
      </c>
      <c r="AA45" s="21">
        <f t="shared" si="7"/>
        <v>1116487.4927313814</v>
      </c>
      <c r="AB45" s="21">
        <f t="shared" si="7"/>
        <v>1116487.4927313814</v>
      </c>
      <c r="AC45" s="21">
        <f t="shared" si="7"/>
        <v>1116487.4927313814</v>
      </c>
      <c r="AD45" s="21">
        <f t="shared" si="7"/>
        <v>1116487.4927313814</v>
      </c>
      <c r="AE45" s="21">
        <f t="shared" si="7"/>
        <v>1116487.4927313814</v>
      </c>
      <c r="AF45" s="21">
        <f t="shared" si="7"/>
        <v>1116487.4927313814</v>
      </c>
      <c r="AG45" s="21">
        <f t="shared" si="7"/>
        <v>1116487.4927313814</v>
      </c>
      <c r="AH45" s="21">
        <f t="shared" si="7"/>
        <v>1116487.4927313814</v>
      </c>
      <c r="AI45" s="21">
        <f t="shared" si="7"/>
        <v>1116487.4927313814</v>
      </c>
      <c r="AJ45" s="21">
        <f t="shared" si="7"/>
        <v>1116487.4927313814</v>
      </c>
    </row>
  </sheetData>
  <conditionalFormatting sqref="C41:AJ43">
    <cfRule type="cellIs" dxfId="7" priority="3" operator="lessThan">
      <formula>0</formula>
    </cfRule>
  </conditionalFormatting>
  <conditionalFormatting sqref="I45">
    <cfRule type="cellIs" dxfId="6" priority="2" operator="lessThan">
      <formula>0</formula>
    </cfRule>
  </conditionalFormatting>
  <conditionalFormatting sqref="J45:AJ45">
    <cfRule type="cellIs" dxfId="5" priority="1" operator="lessThan">
      <formula>0</formula>
    </cfRule>
  </conditionalFormatting>
  <hyperlinks>
    <hyperlink ref="B1" location="novaUNB_podklady!R1C1" display="späť na obsah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workbookViewId="0"/>
  </sheetViews>
  <sheetFormatPr defaultRowHeight="16.5" x14ac:dyDescent="0.3"/>
  <cols>
    <col min="1" max="1" width="35.42578125" style="1" bestFit="1" customWidth="1"/>
    <col min="2" max="2" width="21.140625" style="1" bestFit="1" customWidth="1"/>
    <col min="3" max="5" width="9.140625" style="1"/>
    <col min="6" max="6" width="12.7109375" style="1" customWidth="1"/>
    <col min="7" max="7" width="11.7109375" style="1" customWidth="1"/>
    <col min="8" max="8" width="10.42578125" style="1" bestFit="1" customWidth="1"/>
    <col min="9" max="9" width="11.5703125" style="1" customWidth="1"/>
    <col min="10" max="36" width="10.42578125" style="1" bestFit="1" customWidth="1"/>
    <col min="37" max="16384" width="9.140625" style="1"/>
  </cols>
  <sheetData>
    <row r="1" spans="1:36" x14ac:dyDescent="0.3">
      <c r="A1" s="1" t="s">
        <v>0</v>
      </c>
      <c r="B1" s="32" t="s">
        <v>27</v>
      </c>
    </row>
    <row r="2" spans="1:36" x14ac:dyDescent="0.3">
      <c r="A2" s="2" t="s">
        <v>1</v>
      </c>
    </row>
    <row r="3" spans="1:36" x14ac:dyDescent="0.3">
      <c r="A3" s="4">
        <v>42828</v>
      </c>
    </row>
    <row r="4" spans="1:36" x14ac:dyDescent="0.3">
      <c r="F4" s="3" t="s">
        <v>24</v>
      </c>
      <c r="I4" s="3" t="s">
        <v>25</v>
      </c>
    </row>
    <row r="5" spans="1:36" x14ac:dyDescent="0.3">
      <c r="A5" s="10" t="s">
        <v>4</v>
      </c>
      <c r="B5" s="10" t="s">
        <v>26</v>
      </c>
      <c r="C5" s="10">
        <v>2017</v>
      </c>
      <c r="D5" s="10">
        <v>2018</v>
      </c>
      <c r="E5" s="10">
        <v>2019</v>
      </c>
      <c r="F5" s="11">
        <v>2020</v>
      </c>
      <c r="G5" s="11">
        <v>2021</v>
      </c>
      <c r="H5" s="11">
        <v>2022</v>
      </c>
      <c r="I5" s="12">
        <v>2023</v>
      </c>
      <c r="J5" s="10">
        <v>2024</v>
      </c>
      <c r="K5" s="10">
        <v>2025</v>
      </c>
      <c r="L5" s="10">
        <v>2026</v>
      </c>
      <c r="M5" s="10">
        <v>2027</v>
      </c>
      <c r="N5" s="10">
        <v>2028</v>
      </c>
      <c r="O5" s="10">
        <v>2029</v>
      </c>
      <c r="P5" s="10">
        <v>2030</v>
      </c>
      <c r="Q5" s="10">
        <v>2031</v>
      </c>
      <c r="R5" s="10">
        <v>2032</v>
      </c>
      <c r="S5" s="10">
        <v>2033</v>
      </c>
      <c r="T5" s="10">
        <v>2034</v>
      </c>
      <c r="U5" s="10">
        <v>2035</v>
      </c>
      <c r="V5" s="10">
        <v>2036</v>
      </c>
      <c r="W5" s="10">
        <v>2037</v>
      </c>
      <c r="X5" s="10">
        <v>2038</v>
      </c>
      <c r="Y5" s="10">
        <v>2039</v>
      </c>
      <c r="Z5" s="10">
        <v>2040</v>
      </c>
      <c r="AA5" s="10">
        <v>2041</v>
      </c>
      <c r="AB5" s="10">
        <v>2042</v>
      </c>
      <c r="AC5" s="10">
        <v>2043</v>
      </c>
      <c r="AD5" s="10">
        <v>2044</v>
      </c>
      <c r="AE5" s="10">
        <v>2045</v>
      </c>
      <c r="AF5" s="10">
        <v>2046</v>
      </c>
      <c r="AG5" s="10">
        <v>2047</v>
      </c>
      <c r="AH5" s="10">
        <v>2048</v>
      </c>
      <c r="AI5" s="10">
        <v>2049</v>
      </c>
      <c r="AJ5" s="10">
        <v>2050</v>
      </c>
    </row>
    <row r="6" spans="1:36" s="15" customFormat="1" ht="12.75" x14ac:dyDescent="0.2">
      <c r="A6" s="17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 s="15" customFormat="1" ht="12.75" x14ac:dyDescent="0.2">
      <c r="A7" s="15" t="s">
        <v>19</v>
      </c>
      <c r="B7" s="16"/>
      <c r="C7" s="16">
        <v>0</v>
      </c>
      <c r="D7" s="16">
        <v>0</v>
      </c>
      <c r="E7" s="16">
        <v>0</v>
      </c>
      <c r="F7" s="16">
        <v>178142525.37474349</v>
      </c>
      <c r="G7" s="16">
        <v>180888152.39425039</v>
      </c>
      <c r="H7" s="16">
        <v>183997745.56417957</v>
      </c>
      <c r="I7" s="16">
        <v>187002719.17786318</v>
      </c>
      <c r="J7" s="16">
        <v>189852264.60276994</v>
      </c>
      <c r="K7" s="16">
        <v>192700810.17039061</v>
      </c>
      <c r="L7" s="16">
        <v>195394276.20850402</v>
      </c>
      <c r="M7" s="16">
        <v>198095447.4007608</v>
      </c>
      <c r="N7" s="16">
        <v>200808003.7593663</v>
      </c>
      <c r="O7" s="16">
        <v>203535492.1169267</v>
      </c>
      <c r="P7" s="16">
        <v>206281399.84484363</v>
      </c>
      <c r="Q7" s="16">
        <v>208803729.87565398</v>
      </c>
      <c r="R7" s="16">
        <v>211344154.98957676</v>
      </c>
      <c r="S7" s="16">
        <v>213902617.06843841</v>
      </c>
      <c r="T7" s="16">
        <v>216479055.56141514</v>
      </c>
      <c r="U7" s="16">
        <v>219073407.53663784</v>
      </c>
      <c r="V7" s="16">
        <v>222179366.67983046</v>
      </c>
      <c r="W7" s="16">
        <v>225338465.74025115</v>
      </c>
      <c r="X7" s="16">
        <v>228551933.62994623</v>
      </c>
      <c r="Y7" s="16">
        <v>231821049.95837855</v>
      </c>
      <c r="Z7" s="16">
        <v>235147147.01009977</v>
      </c>
      <c r="AA7" s="16">
        <v>238337989.75419435</v>
      </c>
      <c r="AB7" s="16">
        <v>241556780.12793818</v>
      </c>
      <c r="AC7" s="16">
        <v>244803626.40787059</v>
      </c>
      <c r="AD7" s="16">
        <v>248078635.77164096</v>
      </c>
      <c r="AE7" s="16">
        <v>251381914.29720145</v>
      </c>
      <c r="AF7" s="16">
        <v>254721608.58317775</v>
      </c>
      <c r="AG7" s="16">
        <v>258098163.37706876</v>
      </c>
      <c r="AH7" s="16">
        <v>261512029.70356742</v>
      </c>
      <c r="AI7" s="16">
        <v>264963664.96172792</v>
      </c>
      <c r="AJ7" s="16">
        <v>268453533.02369726</v>
      </c>
    </row>
    <row r="8" spans="1:36" s="15" customFormat="1" ht="12.75" x14ac:dyDescent="0.2">
      <c r="A8" s="15" t="s">
        <v>20</v>
      </c>
      <c r="B8" s="16"/>
      <c r="C8" s="16">
        <v>0</v>
      </c>
      <c r="D8" s="16">
        <v>0</v>
      </c>
      <c r="E8" s="16">
        <v>0</v>
      </c>
      <c r="F8" s="16">
        <v>179033238.00161722</v>
      </c>
      <c r="G8" s="16">
        <v>181792593.15622166</v>
      </c>
      <c r="H8" s="16">
        <v>184917734.29200047</v>
      </c>
      <c r="I8" s="16">
        <v>195816201.8379221</v>
      </c>
      <c r="J8" s="16">
        <v>198755550.33788237</v>
      </c>
      <c r="K8" s="16">
        <v>201697940.92384493</v>
      </c>
      <c r="L8" s="16">
        <v>204481035.55578074</v>
      </c>
      <c r="M8" s="16">
        <v>207268935.71548596</v>
      </c>
      <c r="N8" s="16">
        <v>210065945.7704812</v>
      </c>
      <c r="O8" s="16">
        <v>212876197.21303022</v>
      </c>
      <c r="P8" s="16">
        <v>215703735.18768778</v>
      </c>
      <c r="Q8" s="16">
        <v>218305672.48952535</v>
      </c>
      <c r="R8" s="16">
        <v>220924867.81711301</v>
      </c>
      <c r="S8" s="16">
        <v>223561240.73983061</v>
      </c>
      <c r="T8" s="16">
        <v>226214708.81781989</v>
      </c>
      <c r="U8" s="16">
        <v>228885187.6653361</v>
      </c>
      <c r="V8" s="16">
        <v>232073147.14704925</v>
      </c>
      <c r="W8" s="16">
        <v>235317878.54500556</v>
      </c>
      <c r="X8" s="16">
        <v>238620671.2137084</v>
      </c>
      <c r="Y8" s="16">
        <v>241982868.94733572</v>
      </c>
      <c r="Z8" s="16">
        <v>245405872.03280538</v>
      </c>
      <c r="AA8" s="16">
        <v>248692479.96725917</v>
      </c>
      <c r="AB8" s="16">
        <v>252006694.48602995</v>
      </c>
      <c r="AC8" s="16">
        <v>255348608.36810663</v>
      </c>
      <c r="AD8" s="16">
        <v>258718313.46598661</v>
      </c>
      <c r="AE8" s="16">
        <v>262115900.7099281</v>
      </c>
      <c r="AF8" s="16">
        <v>265550628.73210818</v>
      </c>
      <c r="AG8" s="16">
        <v>269022947.98835528</v>
      </c>
      <c r="AH8" s="16">
        <v>272533315.2643503</v>
      </c>
      <c r="AI8" s="16">
        <v>276082193.77340513</v>
      </c>
      <c r="AJ8" s="16">
        <v>279670053.25581414</v>
      </c>
    </row>
    <row r="9" spans="1:36" s="15" customFormat="1" ht="12.75" x14ac:dyDescent="0.2">
      <c r="A9" s="15" t="s">
        <v>21</v>
      </c>
      <c r="B9" s="16"/>
      <c r="C9" s="16">
        <v>0</v>
      </c>
      <c r="D9" s="16">
        <v>0</v>
      </c>
      <c r="E9" s="16">
        <v>0</v>
      </c>
      <c r="F9" s="16">
        <v>179033238.00161722</v>
      </c>
      <c r="G9" s="16">
        <v>181792593.15622166</v>
      </c>
      <c r="H9" s="16">
        <v>184917734.29200047</v>
      </c>
      <c r="I9" s="16">
        <v>207874346.99033168</v>
      </c>
      <c r="J9" s="16">
        <v>210850154.72024584</v>
      </c>
      <c r="K9" s="16">
        <v>213840217.50933006</v>
      </c>
      <c r="L9" s="16">
        <v>216670023.55469266</v>
      </c>
      <c r="M9" s="16">
        <v>219502689.97450662</v>
      </c>
      <c r="N9" s="16">
        <v>222342889.79301772</v>
      </c>
      <c r="O9" s="16">
        <v>225195099.75717345</v>
      </c>
      <c r="P9" s="16">
        <v>228063694.47403708</v>
      </c>
      <c r="Q9" s="16">
        <v>230698782.51404202</v>
      </c>
      <c r="R9" s="16">
        <v>233350333.47193107</v>
      </c>
      <c r="S9" s="16">
        <v>236018250.81261411</v>
      </c>
      <c r="T9" s="16">
        <v>238702436.21182746</v>
      </c>
      <c r="U9" s="16">
        <v>241402789.62629181</v>
      </c>
      <c r="V9" s="16">
        <v>244604826.00974727</v>
      </c>
      <c r="W9" s="16">
        <v>247865299.3066783</v>
      </c>
      <c r="X9" s="16">
        <v>251185532.02387068</v>
      </c>
      <c r="Y9" s="16">
        <v>254566903.36003721</v>
      </c>
      <c r="Z9" s="16">
        <v>258010851.30669481</v>
      </c>
      <c r="AA9" s="16">
        <v>261325679.4148601</v>
      </c>
      <c r="AB9" s="16">
        <v>264667478.53242511</v>
      </c>
      <c r="AC9" s="16">
        <v>268036328.54400158</v>
      </c>
      <c r="AD9" s="16">
        <v>271432308.47715127</v>
      </c>
      <c r="AE9" s="16">
        <v>274855496.5093981</v>
      </c>
      <c r="AF9" s="16">
        <v>278315811.40136021</v>
      </c>
      <c r="AG9" s="16">
        <v>281813703.64552629</v>
      </c>
      <c r="AH9" s="16">
        <v>285349630.0786525</v>
      </c>
      <c r="AI9" s="16">
        <v>288924053.9799118</v>
      </c>
      <c r="AJ9" s="16">
        <v>292537445.17062354</v>
      </c>
    </row>
    <row r="10" spans="1:36" s="15" customFormat="1" ht="12.75" x14ac:dyDescent="0.2">
      <c r="A10" s="15" t="s">
        <v>22</v>
      </c>
      <c r="B10" s="16"/>
      <c r="C10" s="16">
        <v>0</v>
      </c>
      <c r="D10" s="16">
        <v>0</v>
      </c>
      <c r="E10" s="16">
        <v>0</v>
      </c>
      <c r="F10" s="16">
        <v>179033238.00161722</v>
      </c>
      <c r="G10" s="16">
        <v>181792593.15622166</v>
      </c>
      <c r="H10" s="16">
        <v>184917734.29200047</v>
      </c>
      <c r="I10" s="16">
        <v>207874346.99033168</v>
      </c>
      <c r="J10" s="16">
        <v>210850154.72024584</v>
      </c>
      <c r="K10" s="16">
        <v>213840217.50933006</v>
      </c>
      <c r="L10" s="16">
        <v>216670023.55469266</v>
      </c>
      <c r="M10" s="16">
        <v>219502689.97450662</v>
      </c>
      <c r="N10" s="16">
        <v>222342889.79301772</v>
      </c>
      <c r="O10" s="16">
        <v>225195099.75717345</v>
      </c>
      <c r="P10" s="16">
        <v>228063694.47403708</v>
      </c>
      <c r="Q10" s="16">
        <v>230698782.51404202</v>
      </c>
      <c r="R10" s="16">
        <v>233350333.47193107</v>
      </c>
      <c r="S10" s="16">
        <v>236018250.81261411</v>
      </c>
      <c r="T10" s="16">
        <v>238702436.21182746</v>
      </c>
      <c r="U10" s="16">
        <v>241402789.62629181</v>
      </c>
      <c r="V10" s="16">
        <v>244604826.00974727</v>
      </c>
      <c r="W10" s="16">
        <v>247865299.3066783</v>
      </c>
      <c r="X10" s="16">
        <v>251185532.02387068</v>
      </c>
      <c r="Y10" s="16">
        <v>254566903.36003721</v>
      </c>
      <c r="Z10" s="16">
        <v>258010851.30669481</v>
      </c>
      <c r="AA10" s="16">
        <v>261325679.4148601</v>
      </c>
      <c r="AB10" s="16">
        <v>264667478.53242511</v>
      </c>
      <c r="AC10" s="16">
        <v>268036328.54400158</v>
      </c>
      <c r="AD10" s="16">
        <v>271432308.47715127</v>
      </c>
      <c r="AE10" s="16">
        <v>274855496.5093981</v>
      </c>
      <c r="AF10" s="16">
        <v>278315811.40136021</v>
      </c>
      <c r="AG10" s="16">
        <v>281813703.64552629</v>
      </c>
      <c r="AH10" s="16">
        <v>285349630.0786525</v>
      </c>
      <c r="AI10" s="16">
        <v>288924053.9799118</v>
      </c>
      <c r="AJ10" s="16">
        <v>292537445.17062354</v>
      </c>
    </row>
    <row r="11" spans="1:36" s="15" customFormat="1" ht="12.75" x14ac:dyDescent="0.2">
      <c r="A11" s="15" t="s">
        <v>23</v>
      </c>
      <c r="B11" s="16"/>
      <c r="C11" s="16">
        <v>0</v>
      </c>
      <c r="D11" s="16">
        <v>0</v>
      </c>
      <c r="E11" s="16">
        <v>0</v>
      </c>
      <c r="F11" s="16">
        <v>179033238.00161722</v>
      </c>
      <c r="G11" s="16">
        <v>181792593.15622166</v>
      </c>
      <c r="H11" s="16">
        <v>184917734.29200047</v>
      </c>
      <c r="I11" s="16">
        <v>207874346.99033168</v>
      </c>
      <c r="J11" s="16">
        <v>210850154.72024584</v>
      </c>
      <c r="K11" s="16">
        <v>213840217.50933006</v>
      </c>
      <c r="L11" s="16">
        <v>216670023.55469266</v>
      </c>
      <c r="M11" s="16">
        <v>219502689.97450662</v>
      </c>
      <c r="N11" s="16">
        <v>222342889.79301772</v>
      </c>
      <c r="O11" s="16">
        <v>225195099.75717345</v>
      </c>
      <c r="P11" s="16">
        <v>228063694.47403708</v>
      </c>
      <c r="Q11" s="16">
        <v>230698782.51404202</v>
      </c>
      <c r="R11" s="16">
        <v>233350333.47193107</v>
      </c>
      <c r="S11" s="16">
        <v>236018250.81261411</v>
      </c>
      <c r="T11" s="16">
        <v>238702436.21182746</v>
      </c>
      <c r="U11" s="16">
        <v>241402789.62629181</v>
      </c>
      <c r="V11" s="16">
        <v>244604826.00974727</v>
      </c>
      <c r="W11" s="16">
        <v>247865299.3066783</v>
      </c>
      <c r="X11" s="16">
        <v>251185532.02387068</v>
      </c>
      <c r="Y11" s="16">
        <v>254566903.36003721</v>
      </c>
      <c r="Z11" s="16">
        <v>258010851.30669481</v>
      </c>
      <c r="AA11" s="16">
        <v>261325679.4148601</v>
      </c>
      <c r="AB11" s="16">
        <v>264667478.53242511</v>
      </c>
      <c r="AC11" s="16">
        <v>268036328.54400158</v>
      </c>
      <c r="AD11" s="16">
        <v>271432308.47715127</v>
      </c>
      <c r="AE11" s="16">
        <v>274855496.5093981</v>
      </c>
      <c r="AF11" s="16">
        <v>278315811.40136021</v>
      </c>
      <c r="AG11" s="16">
        <v>281813703.64552629</v>
      </c>
      <c r="AH11" s="16">
        <v>285349630.0786525</v>
      </c>
      <c r="AI11" s="16">
        <v>288924053.9799118</v>
      </c>
      <c r="AJ11" s="16">
        <v>292537445.17062354</v>
      </c>
    </row>
    <row r="12" spans="1:36" s="15" customFormat="1" ht="12.75" x14ac:dyDescent="0.2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15" customFormat="1" ht="12.75" x14ac:dyDescent="0.2">
      <c r="A13" s="17" t="s">
        <v>13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s="15" customFormat="1" ht="12.75" x14ac:dyDescent="0.2">
      <c r="A14" s="15" t="s">
        <v>19</v>
      </c>
      <c r="B14" s="16"/>
      <c r="C14" s="16">
        <v>0</v>
      </c>
      <c r="D14" s="16">
        <v>0</v>
      </c>
      <c r="E14" s="16">
        <v>0</v>
      </c>
      <c r="F14" s="16">
        <v>211928665.56852758</v>
      </c>
      <c r="G14" s="16">
        <v>212713993.80582449</v>
      </c>
      <c r="H14" s="16">
        <v>213677769.47435939</v>
      </c>
      <c r="I14" s="16">
        <v>215533649.32592657</v>
      </c>
      <c r="J14" s="16">
        <v>217952004.48187566</v>
      </c>
      <c r="K14" s="16">
        <v>210699465.7250407</v>
      </c>
      <c r="L14" s="16">
        <v>213983739.64200529</v>
      </c>
      <c r="M14" s="16">
        <v>217319873.56919214</v>
      </c>
      <c r="N14" s="16">
        <v>220708735.25168836</v>
      </c>
      <c r="O14" s="16">
        <v>224151206.65882358</v>
      </c>
      <c r="P14" s="16">
        <v>224349129.60243899</v>
      </c>
      <c r="Q14" s="16">
        <v>227560677.622439</v>
      </c>
      <c r="R14" s="16">
        <v>230821719.40921593</v>
      </c>
      <c r="S14" s="16">
        <v>234133062.28152335</v>
      </c>
      <c r="T14" s="16">
        <v>237495526.56486058</v>
      </c>
      <c r="U14" s="16">
        <v>238582300.63912487</v>
      </c>
      <c r="V14" s="16">
        <v>242596592.09531477</v>
      </c>
      <c r="W14" s="16">
        <v>246675598.9890627</v>
      </c>
      <c r="X14" s="16">
        <v>250820420.73285484</v>
      </c>
      <c r="Y14" s="16">
        <v>255032174.95000905</v>
      </c>
      <c r="Z14" s="16">
        <v>257774848.00695479</v>
      </c>
      <c r="AA14" s="16">
        <v>261883170.99992061</v>
      </c>
      <c r="AB14" s="16">
        <v>266057151.57193768</v>
      </c>
      <c r="AC14" s="16">
        <v>270297889.51168782</v>
      </c>
      <c r="AD14" s="16">
        <v>274606502.65679127</v>
      </c>
      <c r="AE14" s="16">
        <v>275889263.3481037</v>
      </c>
      <c r="AF14" s="16">
        <v>280251962.53278631</v>
      </c>
      <c r="AG14" s="16">
        <v>284684284.78979838</v>
      </c>
      <c r="AH14" s="16">
        <v>289187392.02704197</v>
      </c>
      <c r="AI14" s="16">
        <v>293762465.1767683</v>
      </c>
      <c r="AJ14" s="16">
        <v>292873445.15842956</v>
      </c>
    </row>
    <row r="15" spans="1:36" s="15" customFormat="1" ht="12.75" x14ac:dyDescent="0.2">
      <c r="A15" s="15" t="s">
        <v>20</v>
      </c>
      <c r="B15" s="16"/>
      <c r="C15" s="16">
        <v>0</v>
      </c>
      <c r="D15" s="16">
        <v>0</v>
      </c>
      <c r="E15" s="16">
        <v>0</v>
      </c>
      <c r="F15" s="16">
        <v>201409645.60736293</v>
      </c>
      <c r="G15" s="16">
        <v>202031108.98562011</v>
      </c>
      <c r="H15" s="16">
        <v>202837643.27665806</v>
      </c>
      <c r="I15" s="16">
        <v>204544140.20169196</v>
      </c>
      <c r="J15" s="16">
        <v>206820633.28429925</v>
      </c>
      <c r="K15" s="16">
        <v>199428575.31071818</v>
      </c>
      <c r="L15" s="16">
        <v>202579986.18252078</v>
      </c>
      <c r="M15" s="16">
        <v>205781854.1781078</v>
      </c>
      <c r="N15" s="16">
        <v>209035027.93326595</v>
      </c>
      <c r="O15" s="16">
        <v>212340370.05405366</v>
      </c>
      <c r="P15" s="16">
        <v>212399702.73170441</v>
      </c>
      <c r="Q15" s="16">
        <v>215478842.71554369</v>
      </c>
      <c r="R15" s="16">
        <v>218605975.98889029</v>
      </c>
      <c r="S15" s="16">
        <v>221781889.4506802</v>
      </c>
      <c r="T15" s="16">
        <v>225007382.73549452</v>
      </c>
      <c r="U15" s="16">
        <v>225955623.25760019</v>
      </c>
      <c r="V15" s="16">
        <v>229811332.89762694</v>
      </c>
      <c r="W15" s="16">
        <v>233730151.44377455</v>
      </c>
      <c r="X15" s="16">
        <v>237713156.51060477</v>
      </c>
      <c r="Y15" s="16">
        <v>241761443.6334998</v>
      </c>
      <c r="Z15" s="16">
        <v>244338976.79708987</v>
      </c>
      <c r="AA15" s="16">
        <v>248287085.05465499</v>
      </c>
      <c r="AB15" s="16">
        <v>252299132.89511067</v>
      </c>
      <c r="AC15" s="16">
        <v>256376196.81454867</v>
      </c>
      <c r="AD15" s="16">
        <v>260519371.04832107</v>
      </c>
      <c r="AE15" s="16">
        <v>261634904.02120367</v>
      </c>
      <c r="AF15" s="16">
        <v>265828562.44627661</v>
      </c>
      <c r="AG15" s="16">
        <v>270090006.34616882</v>
      </c>
      <c r="AH15" s="16">
        <v>274420372.74589658</v>
      </c>
      <c r="AI15" s="16">
        <v>278820817.36390501</v>
      </c>
      <c r="AJ15" s="16">
        <v>277755255.5704937</v>
      </c>
    </row>
    <row r="16" spans="1:36" s="15" customFormat="1" ht="12.75" x14ac:dyDescent="0.2">
      <c r="A16" s="15" t="s">
        <v>21</v>
      </c>
      <c r="B16" s="16"/>
      <c r="C16" s="16">
        <v>0</v>
      </c>
      <c r="D16" s="16">
        <v>0</v>
      </c>
      <c r="E16" s="16">
        <v>0</v>
      </c>
      <c r="F16" s="16">
        <v>201409645.60736293</v>
      </c>
      <c r="G16" s="16">
        <v>202031108.98562011</v>
      </c>
      <c r="H16" s="16">
        <v>202837643.27665806</v>
      </c>
      <c r="I16" s="16">
        <v>195358611.71816614</v>
      </c>
      <c r="J16" s="16">
        <v>197775399.627413</v>
      </c>
      <c r="K16" s="16">
        <v>191514561.73926362</v>
      </c>
      <c r="L16" s="16">
        <v>194564069.81067485</v>
      </c>
      <c r="M16" s="16">
        <v>197664939.65429029</v>
      </c>
      <c r="N16" s="16">
        <v>200818057.04427952</v>
      </c>
      <c r="O16" s="16">
        <v>204024322.62781847</v>
      </c>
      <c r="P16" s="16">
        <v>204529112.7485182</v>
      </c>
      <c r="Q16" s="16">
        <v>207528427.55647799</v>
      </c>
      <c r="R16" s="16">
        <v>210576680.90697214</v>
      </c>
      <c r="S16" s="16">
        <v>213674694.4259764</v>
      </c>
      <c r="T16" s="16">
        <v>216823303.28917819</v>
      </c>
      <c r="U16" s="16">
        <v>217631232.75329554</v>
      </c>
      <c r="V16" s="16">
        <v>221374231.19790909</v>
      </c>
      <c r="W16" s="16">
        <v>225181562.42126173</v>
      </c>
      <c r="X16" s="16">
        <v>229054350.68575269</v>
      </c>
      <c r="Y16" s="16">
        <v>232993739.29643011</v>
      </c>
      <c r="Z16" s="16">
        <v>235493608.72991729</v>
      </c>
      <c r="AA16" s="16">
        <v>239351462.92175543</v>
      </c>
      <c r="AB16" s="16">
        <v>243274742.62613809</v>
      </c>
      <c r="AC16" s="16">
        <v>247264575.00685173</v>
      </c>
      <c r="AD16" s="16">
        <v>251322106.14355403</v>
      </c>
      <c r="AE16" s="16">
        <v>253061848.07535511</v>
      </c>
      <c r="AF16" s="16">
        <v>257186307.47834516</v>
      </c>
      <c r="AG16" s="16">
        <v>261380496.35891411</v>
      </c>
      <c r="AH16" s="16">
        <v>265645611.0568397</v>
      </c>
      <c r="AI16" s="16">
        <v>269982867.93473351</v>
      </c>
      <c r="AJ16" s="16">
        <v>271535208.43186599</v>
      </c>
    </row>
    <row r="17" spans="1:36" s="15" customFormat="1" ht="12.75" x14ac:dyDescent="0.2">
      <c r="A17" s="15" t="s">
        <v>22</v>
      </c>
      <c r="B17" s="16"/>
      <c r="C17" s="16">
        <v>0</v>
      </c>
      <c r="D17" s="16">
        <v>0</v>
      </c>
      <c r="E17" s="16">
        <v>0</v>
      </c>
      <c r="F17" s="16">
        <v>201409645.60736293</v>
      </c>
      <c r="G17" s="16">
        <v>202031108.98562011</v>
      </c>
      <c r="H17" s="16">
        <v>202837643.27665806</v>
      </c>
      <c r="I17" s="16">
        <v>187611979.52524644</v>
      </c>
      <c r="J17" s="16">
        <v>189977026.74510455</v>
      </c>
      <c r="K17" s="16">
        <v>184086228.96187222</v>
      </c>
      <c r="L17" s="16">
        <v>187008004.01290703</v>
      </c>
      <c r="M17" s="16">
        <v>189978931.62658739</v>
      </c>
      <c r="N17" s="16">
        <v>192999859.13025492</v>
      </c>
      <c r="O17" s="16">
        <v>196071648.07570797</v>
      </c>
      <c r="P17" s="16">
        <v>196493932.05225635</v>
      </c>
      <c r="Q17" s="16">
        <v>199365913.47512817</v>
      </c>
      <c r="R17" s="16">
        <v>202284699.9111025</v>
      </c>
      <c r="S17" s="16">
        <v>205251076.72821814</v>
      </c>
      <c r="T17" s="16">
        <v>208265842.24194479</v>
      </c>
      <c r="U17" s="16">
        <v>209044668.10414112</v>
      </c>
      <c r="V17" s="16">
        <v>212626546.31550407</v>
      </c>
      <c r="W17" s="16">
        <v>216269908.48957917</v>
      </c>
      <c r="X17" s="16">
        <v>219975828.61403435</v>
      </c>
      <c r="Y17" s="16">
        <v>223745398.86349362</v>
      </c>
      <c r="Z17" s="16">
        <v>226145148.91017061</v>
      </c>
      <c r="AA17" s="16">
        <v>229837061.5548169</v>
      </c>
      <c r="AB17" s="16">
        <v>233591507.46537253</v>
      </c>
      <c r="AC17" s="16">
        <v>237409563.44714063</v>
      </c>
      <c r="AD17" s="16">
        <v>241292324.37136799</v>
      </c>
      <c r="AE17" s="16">
        <v>242984699.95447963</v>
      </c>
      <c r="AF17" s="16">
        <v>246930941.38844925</v>
      </c>
      <c r="AG17" s="16">
        <v>250943808.72860441</v>
      </c>
      <c r="AH17" s="16">
        <v>255024444.40814394</v>
      </c>
      <c r="AI17" s="16">
        <v>259174009.97458315</v>
      </c>
      <c r="AJ17" s="16">
        <v>260693698.48467261</v>
      </c>
    </row>
    <row r="18" spans="1:36" s="15" customFormat="1" ht="12.75" x14ac:dyDescent="0.2">
      <c r="A18" s="15" t="s">
        <v>23</v>
      </c>
      <c r="B18" s="16"/>
      <c r="C18" s="16">
        <v>0</v>
      </c>
      <c r="D18" s="16">
        <v>0</v>
      </c>
      <c r="E18" s="16">
        <v>0</v>
      </c>
      <c r="F18" s="16">
        <v>201409645.60736293</v>
      </c>
      <c r="G18" s="16">
        <v>202031108.98562011</v>
      </c>
      <c r="H18" s="16">
        <v>202837643.27665806</v>
      </c>
      <c r="I18" s="16">
        <v>193421953.66993621</v>
      </c>
      <c r="J18" s="16">
        <v>195825806.40683588</v>
      </c>
      <c r="K18" s="16">
        <v>189657478.54491577</v>
      </c>
      <c r="L18" s="16">
        <v>192675053.36123288</v>
      </c>
      <c r="M18" s="16">
        <v>195743437.64736456</v>
      </c>
      <c r="N18" s="16">
        <v>198863507.56577337</v>
      </c>
      <c r="O18" s="16">
        <v>202036153.98979086</v>
      </c>
      <c r="P18" s="16">
        <v>202520317.57445273</v>
      </c>
      <c r="Q18" s="16">
        <v>205487799.03614053</v>
      </c>
      <c r="R18" s="16">
        <v>208503685.65800473</v>
      </c>
      <c r="S18" s="16">
        <v>211568790.00153682</v>
      </c>
      <c r="T18" s="16">
        <v>214683938.02736986</v>
      </c>
      <c r="U18" s="16">
        <v>215484591.59100693</v>
      </c>
      <c r="V18" s="16">
        <v>219187309.97730783</v>
      </c>
      <c r="W18" s="16">
        <v>222953648.93834108</v>
      </c>
      <c r="X18" s="16">
        <v>226784720.16782311</v>
      </c>
      <c r="Y18" s="16">
        <v>230681654.18819597</v>
      </c>
      <c r="Z18" s="16">
        <v>233156493.77498063</v>
      </c>
      <c r="AA18" s="16">
        <v>236972862.58002082</v>
      </c>
      <c r="AB18" s="16">
        <v>240853933.83594671</v>
      </c>
      <c r="AC18" s="16">
        <v>244800822.11692396</v>
      </c>
      <c r="AD18" s="16">
        <v>248814660.70050752</v>
      </c>
      <c r="AE18" s="16">
        <v>250542561.04513624</v>
      </c>
      <c r="AF18" s="16">
        <v>254622465.95587116</v>
      </c>
      <c r="AG18" s="16">
        <v>258771324.45133668</v>
      </c>
      <c r="AH18" s="16">
        <v>262990319.39466575</v>
      </c>
      <c r="AI18" s="16">
        <v>267280653.44469589</v>
      </c>
      <c r="AJ18" s="16">
        <v>268824830.94506764</v>
      </c>
    </row>
    <row r="19" spans="1:36" s="15" customFormat="1" ht="12.75" x14ac:dyDescent="0.2">
      <c r="A19" s="18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s="15" customFormat="1" ht="12.75" x14ac:dyDescent="0.2">
      <c r="A20" s="17" t="s">
        <v>14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s="15" customFormat="1" ht="12.75" x14ac:dyDescent="0.2">
      <c r="A21" s="15" t="s">
        <v>19</v>
      </c>
      <c r="B21" s="16"/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1:36" s="15" customFormat="1" ht="12.75" x14ac:dyDescent="0.2">
      <c r="A22" s="15" t="s">
        <v>20</v>
      </c>
      <c r="B22" s="16"/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29708333.333333332</v>
      </c>
      <c r="J22" s="16">
        <v>0</v>
      </c>
      <c r="K22" s="16">
        <v>0</v>
      </c>
      <c r="L22" s="16">
        <v>0</v>
      </c>
      <c r="M22" s="16">
        <v>0</v>
      </c>
      <c r="N22" s="16">
        <v>2970833.333333334</v>
      </c>
      <c r="O22" s="16">
        <v>5941666.666666667</v>
      </c>
      <c r="P22" s="16">
        <v>5941666.666666667</v>
      </c>
      <c r="Q22" s="16">
        <v>5941666.666666667</v>
      </c>
      <c r="R22" s="16">
        <v>5941666.666666667</v>
      </c>
      <c r="S22" s="16">
        <v>5941666.666666667</v>
      </c>
      <c r="T22" s="16">
        <v>5941666.666666667</v>
      </c>
      <c r="U22" s="16">
        <v>5941666.666666667</v>
      </c>
      <c r="V22" s="16">
        <v>5941666.666666667</v>
      </c>
      <c r="W22" s="16">
        <v>5941666.666666667</v>
      </c>
      <c r="X22" s="16">
        <v>5941666.666666667</v>
      </c>
      <c r="Y22" s="16">
        <v>5941666.666666667</v>
      </c>
      <c r="Z22" s="16">
        <v>5941666.666666667</v>
      </c>
      <c r="AA22" s="16">
        <v>5941666.666666667</v>
      </c>
      <c r="AB22" s="16">
        <v>5941666.666666667</v>
      </c>
      <c r="AC22" s="16">
        <v>5941666.666666667</v>
      </c>
      <c r="AD22" s="16">
        <v>5941666.666666667</v>
      </c>
      <c r="AE22" s="16">
        <v>5941666.666666667</v>
      </c>
      <c r="AF22" s="16">
        <v>5941666.666666667</v>
      </c>
      <c r="AG22" s="16">
        <v>5941666.666666667</v>
      </c>
      <c r="AH22" s="16">
        <v>5941666.666666667</v>
      </c>
      <c r="AI22" s="16">
        <v>5941666.666666667</v>
      </c>
      <c r="AJ22" s="16">
        <v>5941666.666666667</v>
      </c>
    </row>
    <row r="23" spans="1:36" s="15" customFormat="1" ht="12.75" x14ac:dyDescent="0.2">
      <c r="A23" s="15" t="s">
        <v>21</v>
      </c>
      <c r="B23" s="16"/>
      <c r="C23" s="16">
        <v>0</v>
      </c>
      <c r="D23" s="16">
        <v>0</v>
      </c>
      <c r="E23" s="16">
        <v>0</v>
      </c>
      <c r="F23" s="16">
        <v>57499999.999999993</v>
      </c>
      <c r="G23" s="16">
        <v>207287500</v>
      </c>
      <c r="H23" s="16">
        <v>81170833.333333343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8175516.7748917751</v>
      </c>
      <c r="O23" s="16">
        <v>8175516.7748917751</v>
      </c>
      <c r="P23" s="16">
        <v>8175516.7748917751</v>
      </c>
      <c r="Q23" s="16">
        <v>8175516.7748917751</v>
      </c>
      <c r="R23" s="16">
        <v>8175516.7748917751</v>
      </c>
      <c r="S23" s="16">
        <v>8175516.7748917751</v>
      </c>
      <c r="T23" s="16">
        <v>8175516.7748917751</v>
      </c>
      <c r="U23" s="16">
        <v>8175516.7748917751</v>
      </c>
      <c r="V23" s="16">
        <v>8175516.7748917751</v>
      </c>
      <c r="W23" s="16">
        <v>8175516.7748917751</v>
      </c>
      <c r="X23" s="16">
        <v>8175516.7748917751</v>
      </c>
      <c r="Y23" s="16">
        <v>8175516.7748917751</v>
      </c>
      <c r="Z23" s="16">
        <v>8175516.7748917751</v>
      </c>
      <c r="AA23" s="16">
        <v>8175516.7748917751</v>
      </c>
      <c r="AB23" s="16">
        <v>8175516.7748917751</v>
      </c>
      <c r="AC23" s="16">
        <v>8175516.7748917751</v>
      </c>
      <c r="AD23" s="16">
        <v>8175516.7748917751</v>
      </c>
      <c r="AE23" s="16">
        <v>8175516.7748917751</v>
      </c>
      <c r="AF23" s="16">
        <v>8175516.7748917751</v>
      </c>
      <c r="AG23" s="16">
        <v>8175516.7748917751</v>
      </c>
      <c r="AH23" s="16">
        <v>8175516.7748917751</v>
      </c>
      <c r="AI23" s="16">
        <v>8175516.7748917751</v>
      </c>
      <c r="AJ23" s="16">
        <v>8175516.7748917751</v>
      </c>
    </row>
    <row r="24" spans="1:36" s="15" customFormat="1" ht="12.75" x14ac:dyDescent="0.2">
      <c r="A24" s="15" t="s">
        <v>22</v>
      </c>
      <c r="B24" s="16"/>
      <c r="C24" s="16">
        <v>0</v>
      </c>
      <c r="D24" s="16">
        <v>0</v>
      </c>
      <c r="E24" s="16">
        <v>0</v>
      </c>
      <c r="F24" s="16">
        <v>0</v>
      </c>
      <c r="G24" s="16">
        <v>5250000</v>
      </c>
      <c r="H24" s="16">
        <v>9750000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7109145.0216450216</v>
      </c>
      <c r="O24" s="16">
        <v>7109145.0216450216</v>
      </c>
      <c r="P24" s="16">
        <v>7109145.0216450216</v>
      </c>
      <c r="Q24" s="16">
        <v>7109145.0216450216</v>
      </c>
      <c r="R24" s="16">
        <v>7109145.0216450216</v>
      </c>
      <c r="S24" s="16">
        <v>7109145.0216450216</v>
      </c>
      <c r="T24" s="16">
        <v>7109145.0216450216</v>
      </c>
      <c r="U24" s="16">
        <v>7109145.0216450216</v>
      </c>
      <c r="V24" s="16">
        <v>7109145.0216450216</v>
      </c>
      <c r="W24" s="16">
        <v>7109145.0216450216</v>
      </c>
      <c r="X24" s="16">
        <v>7109145.0216450216</v>
      </c>
      <c r="Y24" s="16">
        <v>7109145.0216450216</v>
      </c>
      <c r="Z24" s="16">
        <v>7109145.0216450216</v>
      </c>
      <c r="AA24" s="16">
        <v>7109145.0216450216</v>
      </c>
      <c r="AB24" s="16">
        <v>7109145.0216450216</v>
      </c>
      <c r="AC24" s="16">
        <v>7109145.0216450216</v>
      </c>
      <c r="AD24" s="16">
        <v>7109145.0216450216</v>
      </c>
      <c r="AE24" s="16">
        <v>7109145.0216450216</v>
      </c>
      <c r="AF24" s="16">
        <v>7109145.0216450216</v>
      </c>
      <c r="AG24" s="16">
        <v>7109145.0216450216</v>
      </c>
      <c r="AH24" s="16">
        <v>7109145.0216450216</v>
      </c>
      <c r="AI24" s="16">
        <v>7109145.0216450216</v>
      </c>
      <c r="AJ24" s="16">
        <v>7109145.0216450216</v>
      </c>
    </row>
    <row r="25" spans="1:36" s="15" customFormat="1" ht="12.75" x14ac:dyDescent="0.2">
      <c r="A25" s="15" t="s">
        <v>23</v>
      </c>
      <c r="B25" s="16"/>
      <c r="C25" s="16">
        <v>0</v>
      </c>
      <c r="D25" s="16">
        <v>0</v>
      </c>
      <c r="E25" s="16">
        <v>0</v>
      </c>
      <c r="F25" s="16">
        <v>53750000</v>
      </c>
      <c r="G25" s="16">
        <v>194162500</v>
      </c>
      <c r="H25" s="16">
        <v>75877083.333333343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7668812.2294372302</v>
      </c>
      <c r="O25" s="16">
        <v>7668812.2294372302</v>
      </c>
      <c r="P25" s="16">
        <v>7668812.2294372302</v>
      </c>
      <c r="Q25" s="16">
        <v>7668812.2294372302</v>
      </c>
      <c r="R25" s="16">
        <v>7668812.2294372302</v>
      </c>
      <c r="S25" s="16">
        <v>7668812.2294372302</v>
      </c>
      <c r="T25" s="16">
        <v>7668812.2294372302</v>
      </c>
      <c r="U25" s="16">
        <v>7668812.2294372302</v>
      </c>
      <c r="V25" s="16">
        <v>7668812.2294372302</v>
      </c>
      <c r="W25" s="16">
        <v>7668812.2294372302</v>
      </c>
      <c r="X25" s="16">
        <v>7668812.2294372302</v>
      </c>
      <c r="Y25" s="16">
        <v>7668812.2294372302</v>
      </c>
      <c r="Z25" s="16">
        <v>7668812.2294372302</v>
      </c>
      <c r="AA25" s="16">
        <v>7668812.2294372302</v>
      </c>
      <c r="AB25" s="16">
        <v>7668812.2294372302</v>
      </c>
      <c r="AC25" s="16">
        <v>7668812.2294372302</v>
      </c>
      <c r="AD25" s="16">
        <v>7668812.2294372302</v>
      </c>
      <c r="AE25" s="16">
        <v>7668812.2294372302</v>
      </c>
      <c r="AF25" s="16">
        <v>7668812.2294372302</v>
      </c>
      <c r="AG25" s="16">
        <v>7668812.2294372302</v>
      </c>
      <c r="AH25" s="16">
        <v>7668812.2294372302</v>
      </c>
      <c r="AI25" s="16">
        <v>7668812.2294372302</v>
      </c>
      <c r="AJ25" s="16">
        <v>7668812.2294372302</v>
      </c>
    </row>
    <row r="26" spans="1:36" s="15" customFormat="1" ht="12.75" x14ac:dyDescent="0.2">
      <c r="A26" s="18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s="15" customFormat="1" ht="12.75" x14ac:dyDescent="0.2">
      <c r="A27" s="17" t="s">
        <v>15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s="15" customFormat="1" ht="12.75" x14ac:dyDescent="0.2">
      <c r="A28" s="15" t="s">
        <v>19</v>
      </c>
      <c r="B28" s="16"/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1:36" s="15" customFormat="1" ht="12.75" x14ac:dyDescent="0.2">
      <c r="A29" s="15" t="s">
        <v>20</v>
      </c>
      <c r="B29" s="16"/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1:36" s="15" customFormat="1" ht="12.75" x14ac:dyDescent="0.2">
      <c r="A30" s="15" t="s">
        <v>21</v>
      </c>
      <c r="B30" s="16"/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1:36" s="15" customFormat="1" ht="12.75" x14ac:dyDescent="0.2">
      <c r="A31" s="15" t="s">
        <v>22</v>
      </c>
      <c r="B31" s="16"/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16513924.443844272</v>
      </c>
      <c r="J31" s="16">
        <v>16513924.443844272</v>
      </c>
      <c r="K31" s="16">
        <v>16513924.443844272</v>
      </c>
      <c r="L31" s="16">
        <v>16513924.443844272</v>
      </c>
      <c r="M31" s="16">
        <v>16513924.443844272</v>
      </c>
      <c r="N31" s="16">
        <v>16513924.443844272</v>
      </c>
      <c r="O31" s="16">
        <v>16513924.443844272</v>
      </c>
      <c r="P31" s="16">
        <v>16513924.443844272</v>
      </c>
      <c r="Q31" s="16">
        <v>16513924.443844272</v>
      </c>
      <c r="R31" s="16">
        <v>16513924.443844272</v>
      </c>
      <c r="S31" s="16">
        <v>16513924.443844272</v>
      </c>
      <c r="T31" s="16">
        <v>16513924.443844272</v>
      </c>
      <c r="U31" s="16">
        <v>16513924.443844272</v>
      </c>
      <c r="V31" s="16">
        <v>16513924.443844272</v>
      </c>
      <c r="W31" s="16">
        <v>16513924.443844272</v>
      </c>
      <c r="X31" s="16">
        <v>16513924.443844272</v>
      </c>
      <c r="Y31" s="16">
        <v>16513924.443844272</v>
      </c>
      <c r="Z31" s="16">
        <v>16513924.443844272</v>
      </c>
      <c r="AA31" s="16">
        <v>16513924.443844272</v>
      </c>
      <c r="AB31" s="16">
        <v>16513924.443844272</v>
      </c>
      <c r="AC31" s="16">
        <v>16513924.443844272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1:36" s="15" customFormat="1" ht="12.75" x14ac:dyDescent="0.2">
      <c r="A32" s="15" t="s">
        <v>23</v>
      </c>
      <c r="B32" s="16"/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1:39" s="15" customFormat="1" ht="12.75" x14ac:dyDescent="0.2">
      <c r="A33" s="18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9" s="15" customFormat="1" ht="12.75" x14ac:dyDescent="0.2">
      <c r="A34" s="17" t="s">
        <v>16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9" s="15" customFormat="1" ht="12.75" x14ac:dyDescent="0.2">
      <c r="A35" s="15" t="s">
        <v>19</v>
      </c>
      <c r="B35" s="16"/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1:39" s="15" customFormat="1" ht="12.75" x14ac:dyDescent="0.2">
      <c r="A36" s="15" t="s">
        <v>20</v>
      </c>
      <c r="B36" s="16"/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1:39" s="15" customFormat="1" ht="12.75" x14ac:dyDescent="0.2">
      <c r="A37" s="15" t="s">
        <v>21</v>
      </c>
      <c r="B37" s="16"/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/>
      <c r="AL37" s="16"/>
      <c r="AM37" s="16"/>
    </row>
    <row r="38" spans="1:39" s="15" customFormat="1" ht="12.75" x14ac:dyDescent="0.2">
      <c r="A38" s="15" t="s">
        <v>22</v>
      </c>
      <c r="B38" s="16"/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17808186.65178474</v>
      </c>
      <c r="J38" s="16">
        <v>17808186.65178474</v>
      </c>
      <c r="K38" s="16">
        <v>17808186.65178474</v>
      </c>
      <c r="L38" s="16">
        <v>17808186.65178474</v>
      </c>
      <c r="M38" s="16">
        <v>17808186.65178474</v>
      </c>
      <c r="N38" s="16">
        <v>17808186.65178474</v>
      </c>
      <c r="O38" s="16">
        <v>17808186.65178474</v>
      </c>
      <c r="P38" s="16">
        <v>17808186.65178474</v>
      </c>
      <c r="Q38" s="16">
        <v>17808186.65178474</v>
      </c>
      <c r="R38" s="16">
        <v>17808186.65178474</v>
      </c>
      <c r="S38" s="16">
        <v>17808186.65178474</v>
      </c>
      <c r="T38" s="16">
        <v>17808186.65178474</v>
      </c>
      <c r="U38" s="16">
        <v>17808186.65178474</v>
      </c>
      <c r="V38" s="16">
        <v>17808186.65178474</v>
      </c>
      <c r="W38" s="16">
        <v>17808186.65178474</v>
      </c>
      <c r="X38" s="16">
        <v>17808186.65178474</v>
      </c>
      <c r="Y38" s="16">
        <v>17808186.65178474</v>
      </c>
      <c r="Z38" s="16">
        <v>17808186.65178474</v>
      </c>
      <c r="AA38" s="16">
        <v>17808186.65178474</v>
      </c>
      <c r="AB38" s="16">
        <v>17808186.65178474</v>
      </c>
      <c r="AC38" s="16">
        <v>17808186.65178474</v>
      </c>
      <c r="AD38" s="16">
        <v>17808186.65178474</v>
      </c>
      <c r="AE38" s="16">
        <v>17808186.65178474</v>
      </c>
      <c r="AF38" s="16">
        <v>17808186.65178474</v>
      </c>
      <c r="AG38" s="16">
        <v>17808186.65178474</v>
      </c>
      <c r="AH38" s="16">
        <v>17808186.65178474</v>
      </c>
      <c r="AI38" s="16">
        <v>17808186.65178474</v>
      </c>
      <c r="AJ38" s="16">
        <v>17808186.65178474</v>
      </c>
      <c r="AK38" s="16"/>
      <c r="AL38" s="16"/>
      <c r="AM38" s="16"/>
    </row>
    <row r="39" spans="1:39" s="15" customFormat="1" ht="12.75" x14ac:dyDescent="0.2">
      <c r="A39" s="15" t="s">
        <v>23</v>
      </c>
      <c r="B39" s="16"/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2500000</v>
      </c>
      <c r="J39" s="16">
        <v>2500000</v>
      </c>
      <c r="K39" s="16">
        <v>2500000</v>
      </c>
      <c r="L39" s="16">
        <v>2500000</v>
      </c>
      <c r="M39" s="16">
        <v>2500000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/>
      <c r="AL39" s="16"/>
      <c r="AM39" s="16"/>
    </row>
    <row r="40" spans="1:39" s="15" customFormat="1" ht="12.75" x14ac:dyDescent="0.2">
      <c r="A40" s="18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9" x14ac:dyDescent="0.3">
      <c r="A41" s="3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9" x14ac:dyDescent="0.3">
      <c r="A42" s="1" t="s">
        <v>19</v>
      </c>
      <c r="B42" s="5"/>
      <c r="C42" s="5">
        <v>0</v>
      </c>
      <c r="D42" s="5">
        <v>0</v>
      </c>
      <c r="E42" s="5">
        <v>0</v>
      </c>
      <c r="F42" s="5">
        <f>F7-F14</f>
        <v>-33786140.193784088</v>
      </c>
      <c r="G42" s="5">
        <f t="shared" ref="G42:AJ46" si="0">G7-G14</f>
        <v>-31825841.411574095</v>
      </c>
      <c r="H42" s="5">
        <f t="shared" si="0"/>
        <v>-29680023.910179824</v>
      </c>
      <c r="I42" s="5">
        <f t="shared" si="0"/>
        <v>-28530930.148063391</v>
      </c>
      <c r="J42" s="5">
        <f t="shared" si="0"/>
        <v>-28099739.879105717</v>
      </c>
      <c r="K42" s="5">
        <f t="shared" si="0"/>
        <v>-17998655.554650098</v>
      </c>
      <c r="L42" s="5">
        <f t="shared" si="0"/>
        <v>-18589463.433501273</v>
      </c>
      <c r="M42" s="5">
        <f t="shared" si="0"/>
        <v>-19224426.168431342</v>
      </c>
      <c r="N42" s="5">
        <f t="shared" si="0"/>
        <v>-19900731.492322057</v>
      </c>
      <c r="O42" s="5">
        <f t="shared" si="0"/>
        <v>-20615714.54189688</v>
      </c>
      <c r="P42" s="5">
        <f t="shared" si="0"/>
        <v>-18067729.75759536</v>
      </c>
      <c r="Q42" s="5">
        <f t="shared" si="0"/>
        <v>-18756947.746785015</v>
      </c>
      <c r="R42" s="5">
        <f t="shared" si="0"/>
        <v>-19477564.41963917</v>
      </c>
      <c r="S42" s="5">
        <f t="shared" si="0"/>
        <v>-20230445.213084936</v>
      </c>
      <c r="T42" s="5">
        <f t="shared" si="0"/>
        <v>-21016471.003445446</v>
      </c>
      <c r="U42" s="5">
        <f t="shared" si="0"/>
        <v>-19508893.102487028</v>
      </c>
      <c r="V42" s="5">
        <f t="shared" si="0"/>
        <v>-20417225.415484309</v>
      </c>
      <c r="W42" s="5">
        <f t="shared" si="0"/>
        <v>-21337133.248811543</v>
      </c>
      <c r="X42" s="5">
        <f t="shared" si="0"/>
        <v>-22268487.102908611</v>
      </c>
      <c r="Y42" s="5">
        <f t="shared" si="0"/>
        <v>-23211124.991630495</v>
      </c>
      <c r="Z42" s="5">
        <f t="shared" si="0"/>
        <v>-22627700.996855021</v>
      </c>
      <c r="AA42" s="5">
        <f t="shared" si="0"/>
        <v>-23545181.245726258</v>
      </c>
      <c r="AB42" s="5">
        <f t="shared" si="0"/>
        <v>-24500371.443999499</v>
      </c>
      <c r="AC42" s="5">
        <f t="shared" si="0"/>
        <v>-25494263.103817225</v>
      </c>
      <c r="AD42" s="5">
        <f t="shared" si="0"/>
        <v>-26527866.885150313</v>
      </c>
      <c r="AE42" s="5">
        <f t="shared" si="0"/>
        <v>-24507349.050902247</v>
      </c>
      <c r="AF42" s="5">
        <f t="shared" si="0"/>
        <v>-25530353.949608564</v>
      </c>
      <c r="AG42" s="5">
        <f t="shared" si="0"/>
        <v>-26586121.412729621</v>
      </c>
      <c r="AH42" s="5">
        <f t="shared" si="0"/>
        <v>-27675362.323474556</v>
      </c>
      <c r="AI42" s="5">
        <f t="shared" si="0"/>
        <v>-28798800.215040386</v>
      </c>
      <c r="AJ42" s="5">
        <f t="shared" si="0"/>
        <v>-24419912.134732306</v>
      </c>
    </row>
    <row r="43" spans="1:39" x14ac:dyDescent="0.3">
      <c r="A43" s="1" t="s">
        <v>20</v>
      </c>
      <c r="B43" s="5"/>
      <c r="C43" s="5">
        <v>0</v>
      </c>
      <c r="D43" s="5">
        <v>0</v>
      </c>
      <c r="E43" s="5">
        <v>0</v>
      </c>
      <c r="F43" s="5">
        <f t="shared" ref="F43:U46" si="1">F8-F15</f>
        <v>-22376407.605745703</v>
      </c>
      <c r="G43" s="5">
        <f t="shared" si="1"/>
        <v>-20238515.829398453</v>
      </c>
      <c r="H43" s="5">
        <f t="shared" si="1"/>
        <v>-17919908.984657586</v>
      </c>
      <c r="I43" s="5">
        <f t="shared" si="1"/>
        <v>-8727938.3637698591</v>
      </c>
      <c r="J43" s="5">
        <f t="shared" si="1"/>
        <v>-8065082.9464168847</v>
      </c>
      <c r="K43" s="5">
        <f t="shared" si="1"/>
        <v>2269365.6131267548</v>
      </c>
      <c r="L43" s="5">
        <f t="shared" si="1"/>
        <v>1901049.3732599616</v>
      </c>
      <c r="M43" s="5">
        <f t="shared" si="1"/>
        <v>1487081.5373781621</v>
      </c>
      <c r="N43" s="5">
        <f t="shared" si="1"/>
        <v>1030917.8372152448</v>
      </c>
      <c r="O43" s="5">
        <f t="shared" si="1"/>
        <v>535827.15897655487</v>
      </c>
      <c r="P43" s="5">
        <f t="shared" si="1"/>
        <v>3304032.4559833705</v>
      </c>
      <c r="Q43" s="5">
        <f t="shared" si="1"/>
        <v>2826829.7739816606</v>
      </c>
      <c r="R43" s="5">
        <f t="shared" si="1"/>
        <v>2318891.8282227218</v>
      </c>
      <c r="S43" s="5">
        <f t="shared" si="1"/>
        <v>1779351.2891504169</v>
      </c>
      <c r="T43" s="5">
        <f t="shared" si="1"/>
        <v>1207326.0823253691</v>
      </c>
      <c r="U43" s="5">
        <f t="shared" si="1"/>
        <v>2929564.407735914</v>
      </c>
      <c r="V43" s="5">
        <f t="shared" si="0"/>
        <v>2261814.2494223118</v>
      </c>
      <c r="W43" s="5">
        <f t="shared" si="0"/>
        <v>1587727.1012310088</v>
      </c>
      <c r="X43" s="5">
        <f t="shared" si="0"/>
        <v>907514.70310363173</v>
      </c>
      <c r="Y43" s="5">
        <f t="shared" si="0"/>
        <v>221425.3138359189</v>
      </c>
      <c r="Z43" s="5">
        <f t="shared" si="0"/>
        <v>1066895.2357155085</v>
      </c>
      <c r="AA43" s="5">
        <f t="shared" si="0"/>
        <v>405394.91260418296</v>
      </c>
      <c r="AB43" s="5">
        <f t="shared" si="0"/>
        <v>-292438.40908071399</v>
      </c>
      <c r="AC43" s="5">
        <f t="shared" si="0"/>
        <v>-1027588.4464420378</v>
      </c>
      <c r="AD43" s="5">
        <f t="shared" si="0"/>
        <v>-1801057.5823344588</v>
      </c>
      <c r="AE43" s="5">
        <f t="shared" si="0"/>
        <v>480996.68872442842</v>
      </c>
      <c r="AF43" s="5">
        <f t="shared" si="0"/>
        <v>-277933.71416842937</v>
      </c>
      <c r="AG43" s="5">
        <f t="shared" si="0"/>
        <v>-1067058.3578135371</v>
      </c>
      <c r="AH43" s="5">
        <f t="shared" si="0"/>
        <v>-1887057.4815462828</v>
      </c>
      <c r="AI43" s="5">
        <f t="shared" si="0"/>
        <v>-2738623.5904998779</v>
      </c>
      <c r="AJ43" s="5">
        <f t="shared" si="0"/>
        <v>1914797.685320437</v>
      </c>
    </row>
    <row r="44" spans="1:39" x14ac:dyDescent="0.3">
      <c r="A44" s="1" t="s">
        <v>21</v>
      </c>
      <c r="B44" s="5"/>
      <c r="C44" s="5">
        <v>0</v>
      </c>
      <c r="D44" s="5">
        <v>0</v>
      </c>
      <c r="E44" s="5">
        <v>0</v>
      </c>
      <c r="F44" s="5">
        <f t="shared" si="1"/>
        <v>-22376407.605745703</v>
      </c>
      <c r="G44" s="5">
        <f t="shared" si="0"/>
        <v>-20238515.829398453</v>
      </c>
      <c r="H44" s="5">
        <f t="shared" si="0"/>
        <v>-17919908.984657586</v>
      </c>
      <c r="I44" s="5">
        <f>I9-I16</f>
        <v>12515735.272165537</v>
      </c>
      <c r="J44" s="5">
        <f t="shared" si="0"/>
        <v>13074755.092832834</v>
      </c>
      <c r="K44" s="5">
        <f t="shared" si="0"/>
        <v>22325655.77006644</v>
      </c>
      <c r="L44" s="5">
        <f t="shared" si="0"/>
        <v>22105953.74401781</v>
      </c>
      <c r="M44" s="5">
        <f t="shared" si="0"/>
        <v>21837750.320216328</v>
      </c>
      <c r="N44" s="5">
        <f t="shared" si="0"/>
        <v>21524832.748738199</v>
      </c>
      <c r="O44" s="5">
        <f t="shared" si="0"/>
        <v>21170777.129354984</v>
      </c>
      <c r="P44" s="5">
        <f t="shared" si="0"/>
        <v>23534581.725518882</v>
      </c>
      <c r="Q44" s="5">
        <f t="shared" si="0"/>
        <v>23170354.957564026</v>
      </c>
      <c r="R44" s="5">
        <f t="shared" si="0"/>
        <v>22773652.56495893</v>
      </c>
      <c r="S44" s="5">
        <f t="shared" si="0"/>
        <v>22343556.386637717</v>
      </c>
      <c r="T44" s="5">
        <f t="shared" si="0"/>
        <v>21879132.922649264</v>
      </c>
      <c r="U44" s="5">
        <f t="shared" si="0"/>
        <v>23771556.872996271</v>
      </c>
      <c r="V44" s="5">
        <f t="shared" si="0"/>
        <v>23230594.81183818</v>
      </c>
      <c r="W44" s="5">
        <f t="shared" si="0"/>
        <v>22683736.885416567</v>
      </c>
      <c r="X44" s="5">
        <f t="shared" si="0"/>
        <v>22131181.338117987</v>
      </c>
      <c r="Y44" s="5">
        <f t="shared" si="0"/>
        <v>21573164.063607097</v>
      </c>
      <c r="Z44" s="5">
        <f t="shared" si="0"/>
        <v>22517242.576777518</v>
      </c>
      <c r="AA44" s="5">
        <f t="shared" si="0"/>
        <v>21974216.493104666</v>
      </c>
      <c r="AB44" s="5">
        <f t="shared" si="0"/>
        <v>21392735.906287014</v>
      </c>
      <c r="AC44" s="5">
        <f t="shared" si="0"/>
        <v>20771753.537149847</v>
      </c>
      <c r="AD44" s="5">
        <f t="shared" si="0"/>
        <v>20110202.333597243</v>
      </c>
      <c r="AE44" s="5">
        <f t="shared" si="0"/>
        <v>21793648.43404299</v>
      </c>
      <c r="AF44" s="5">
        <f t="shared" si="0"/>
        <v>21129503.923015058</v>
      </c>
      <c r="AG44" s="5">
        <f t="shared" si="0"/>
        <v>20433207.286612183</v>
      </c>
      <c r="AH44" s="5">
        <f t="shared" si="0"/>
        <v>19704019.021812797</v>
      </c>
      <c r="AI44" s="5">
        <f t="shared" si="0"/>
        <v>18941186.045178294</v>
      </c>
      <c r="AJ44" s="5">
        <f t="shared" si="0"/>
        <v>21002236.738757551</v>
      </c>
    </row>
    <row r="45" spans="1:39" x14ac:dyDescent="0.3">
      <c r="A45" s="1" t="s">
        <v>22</v>
      </c>
      <c r="B45" s="5"/>
      <c r="C45" s="5">
        <v>0</v>
      </c>
      <c r="D45" s="5">
        <v>0</v>
      </c>
      <c r="E45" s="5">
        <v>0</v>
      </c>
      <c r="F45" s="5">
        <f t="shared" si="1"/>
        <v>-22376407.605745703</v>
      </c>
      <c r="G45" s="5">
        <f t="shared" si="0"/>
        <v>-20238515.829398453</v>
      </c>
      <c r="H45" s="5">
        <f t="shared" si="0"/>
        <v>-17919908.984657586</v>
      </c>
      <c r="I45" s="5">
        <f t="shared" si="0"/>
        <v>20262367.465085238</v>
      </c>
      <c r="J45" s="5">
        <f t="shared" si="0"/>
        <v>20873127.975141287</v>
      </c>
      <c r="K45" s="5">
        <f t="shared" si="0"/>
        <v>29753988.547457844</v>
      </c>
      <c r="L45" s="5">
        <f t="shared" si="0"/>
        <v>29662019.541785628</v>
      </c>
      <c r="M45" s="5">
        <f t="shared" si="0"/>
        <v>29523758.347919226</v>
      </c>
      <c r="N45" s="5">
        <f t="shared" si="0"/>
        <v>29343030.662762791</v>
      </c>
      <c r="O45" s="5">
        <f t="shared" si="0"/>
        <v>29123451.681465477</v>
      </c>
      <c r="P45" s="5">
        <f t="shared" si="0"/>
        <v>31569762.421780735</v>
      </c>
      <c r="Q45" s="5">
        <f t="shared" si="0"/>
        <v>31332869.038913846</v>
      </c>
      <c r="R45" s="5">
        <f t="shared" si="0"/>
        <v>31065633.560828567</v>
      </c>
      <c r="S45" s="5">
        <f t="shared" si="0"/>
        <v>30767174.084395975</v>
      </c>
      <c r="T45" s="5">
        <f t="shared" si="0"/>
        <v>30436593.969882667</v>
      </c>
      <c r="U45" s="5">
        <f t="shared" si="0"/>
        <v>32358121.522150695</v>
      </c>
      <c r="V45" s="5">
        <f t="shared" si="0"/>
        <v>31978279.694243193</v>
      </c>
      <c r="W45" s="5">
        <f t="shared" si="0"/>
        <v>31595390.817099124</v>
      </c>
      <c r="X45" s="5">
        <f t="shared" si="0"/>
        <v>31209703.409836322</v>
      </c>
      <c r="Y45" s="5">
        <f t="shared" si="0"/>
        <v>30821504.496543586</v>
      </c>
      <c r="Z45" s="5">
        <f t="shared" si="0"/>
        <v>31865702.396524191</v>
      </c>
      <c r="AA45" s="5">
        <f t="shared" si="0"/>
        <v>31488617.860043198</v>
      </c>
      <c r="AB45" s="5">
        <f t="shared" si="0"/>
        <v>31075971.067052573</v>
      </c>
      <c r="AC45" s="5">
        <f t="shared" si="0"/>
        <v>30626765.096860945</v>
      </c>
      <c r="AD45" s="5">
        <f t="shared" si="0"/>
        <v>30139984.105783284</v>
      </c>
      <c r="AE45" s="5">
        <f t="shared" si="0"/>
        <v>31870796.554918468</v>
      </c>
      <c r="AF45" s="5">
        <f t="shared" si="0"/>
        <v>31384870.012910962</v>
      </c>
      <c r="AG45" s="5">
        <f t="shared" si="0"/>
        <v>30869894.916921884</v>
      </c>
      <c r="AH45" s="5">
        <f t="shared" si="0"/>
        <v>30325185.670508564</v>
      </c>
      <c r="AI45" s="5">
        <f t="shared" si="0"/>
        <v>29750044.005328655</v>
      </c>
      <c r="AJ45" s="5">
        <f t="shared" si="0"/>
        <v>31843746.685950935</v>
      </c>
    </row>
    <row r="46" spans="1:39" x14ac:dyDescent="0.3">
      <c r="A46" s="1" t="s">
        <v>23</v>
      </c>
      <c r="B46" s="5"/>
      <c r="C46" s="5">
        <v>0</v>
      </c>
      <c r="D46" s="5">
        <v>0</v>
      </c>
      <c r="E46" s="5">
        <v>0</v>
      </c>
      <c r="F46" s="5">
        <f t="shared" si="1"/>
        <v>-22376407.605745703</v>
      </c>
      <c r="G46" s="5">
        <f t="shared" si="0"/>
        <v>-20238515.829398453</v>
      </c>
      <c r="H46" s="5">
        <f t="shared" si="0"/>
        <v>-17919908.984657586</v>
      </c>
      <c r="I46" s="5">
        <f t="shared" si="0"/>
        <v>14452393.32039547</v>
      </c>
      <c r="J46" s="5">
        <f t="shared" si="0"/>
        <v>15024348.313409954</v>
      </c>
      <c r="K46" s="5">
        <f t="shared" si="0"/>
        <v>24182738.964414299</v>
      </c>
      <c r="L46" s="5">
        <f t="shared" si="0"/>
        <v>23994970.193459779</v>
      </c>
      <c r="M46" s="5">
        <f t="shared" si="0"/>
        <v>23759252.32714206</v>
      </c>
      <c r="N46" s="5">
        <f t="shared" si="0"/>
        <v>23479382.227244347</v>
      </c>
      <c r="O46" s="5">
        <f t="shared" si="0"/>
        <v>23158945.767382592</v>
      </c>
      <c r="P46" s="5">
        <f t="shared" si="0"/>
        <v>25543376.899584353</v>
      </c>
      <c r="Q46" s="5">
        <f t="shared" si="0"/>
        <v>25210983.477901489</v>
      </c>
      <c r="R46" s="5">
        <f t="shared" si="0"/>
        <v>24846647.813926339</v>
      </c>
      <c r="S46" s="5">
        <f t="shared" si="0"/>
        <v>24449460.811077297</v>
      </c>
      <c r="T46" s="5">
        <f t="shared" si="0"/>
        <v>24018498.1844576</v>
      </c>
      <c r="U46" s="5">
        <f t="shared" si="0"/>
        <v>25918198.035284877</v>
      </c>
      <c r="V46" s="5">
        <f t="shared" si="0"/>
        <v>25417516.03243944</v>
      </c>
      <c r="W46" s="5">
        <f t="shared" si="0"/>
        <v>24911650.368337214</v>
      </c>
      <c r="X46" s="5">
        <f t="shared" si="0"/>
        <v>24400811.856047571</v>
      </c>
      <c r="Y46" s="5">
        <f t="shared" si="0"/>
        <v>23885249.171841234</v>
      </c>
      <c r="Z46" s="5">
        <f t="shared" si="0"/>
        <v>24854357.531714171</v>
      </c>
      <c r="AA46" s="5">
        <f t="shared" si="0"/>
        <v>24352816.834839284</v>
      </c>
      <c r="AB46" s="5">
        <f t="shared" si="0"/>
        <v>23813544.696478397</v>
      </c>
      <c r="AC46" s="5">
        <f t="shared" si="0"/>
        <v>23235506.427077621</v>
      </c>
      <c r="AD46" s="5">
        <f t="shared" si="0"/>
        <v>22617647.776643753</v>
      </c>
      <c r="AE46" s="5">
        <f t="shared" si="0"/>
        <v>24312935.46426186</v>
      </c>
      <c r="AF46" s="5">
        <f t="shared" si="0"/>
        <v>23693345.445489049</v>
      </c>
      <c r="AG46" s="5">
        <f t="shared" si="0"/>
        <v>23042379.194189608</v>
      </c>
      <c r="AH46" s="5">
        <f t="shared" si="0"/>
        <v>22359310.683986753</v>
      </c>
      <c r="AI46" s="5">
        <f t="shared" si="0"/>
        <v>21643400.535215914</v>
      </c>
      <c r="AJ46" s="5">
        <f t="shared" si="0"/>
        <v>23712614.225555897</v>
      </c>
    </row>
    <row r="47" spans="1:39" x14ac:dyDescent="0.3">
      <c r="A47" s="13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9" s="2" customFormat="1" x14ac:dyDescent="0.3">
      <c r="A48" s="6" t="s">
        <v>18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</row>
    <row r="49" spans="1:36" s="2" customFormat="1" x14ac:dyDescent="0.3">
      <c r="A49" s="2" t="s">
        <v>19</v>
      </c>
      <c r="B49" s="36">
        <f t="shared" ref="B49:B52" si="2">NPV(0.04,D49:AJ49)</f>
        <v>-386869837.70170462</v>
      </c>
      <c r="C49" s="20">
        <v>0</v>
      </c>
      <c r="D49" s="20">
        <v>0</v>
      </c>
      <c r="E49" s="20">
        <v>0</v>
      </c>
      <c r="F49" s="20">
        <f>F42-F21-F28-F35</f>
        <v>-33786140.193784088</v>
      </c>
      <c r="G49" s="20">
        <f t="shared" ref="G49:AJ53" si="3">G42-G21-G28-G35</f>
        <v>-31825841.411574095</v>
      </c>
      <c r="H49" s="20">
        <f t="shared" si="3"/>
        <v>-29680023.910179824</v>
      </c>
      <c r="I49" s="20">
        <f t="shared" si="3"/>
        <v>-28530930.148063391</v>
      </c>
      <c r="J49" s="20">
        <f t="shared" si="3"/>
        <v>-28099739.879105717</v>
      </c>
      <c r="K49" s="20">
        <f t="shared" si="3"/>
        <v>-17998655.554650098</v>
      </c>
      <c r="L49" s="20">
        <f t="shared" si="3"/>
        <v>-18589463.433501273</v>
      </c>
      <c r="M49" s="20">
        <f t="shared" si="3"/>
        <v>-19224426.168431342</v>
      </c>
      <c r="N49" s="20">
        <f t="shared" si="3"/>
        <v>-19900731.492322057</v>
      </c>
      <c r="O49" s="20">
        <f t="shared" si="3"/>
        <v>-20615714.54189688</v>
      </c>
      <c r="P49" s="20">
        <f t="shared" si="3"/>
        <v>-18067729.75759536</v>
      </c>
      <c r="Q49" s="20">
        <f t="shared" si="3"/>
        <v>-18756947.746785015</v>
      </c>
      <c r="R49" s="20">
        <f t="shared" si="3"/>
        <v>-19477564.41963917</v>
      </c>
      <c r="S49" s="20">
        <f t="shared" si="3"/>
        <v>-20230445.213084936</v>
      </c>
      <c r="T49" s="20">
        <f t="shared" si="3"/>
        <v>-21016471.003445446</v>
      </c>
      <c r="U49" s="20">
        <f t="shared" si="3"/>
        <v>-19508893.102487028</v>
      </c>
      <c r="V49" s="20">
        <f t="shared" si="3"/>
        <v>-20417225.415484309</v>
      </c>
      <c r="W49" s="20">
        <f t="shared" si="3"/>
        <v>-21337133.248811543</v>
      </c>
      <c r="X49" s="20">
        <f t="shared" si="3"/>
        <v>-22268487.102908611</v>
      </c>
      <c r="Y49" s="20">
        <f t="shared" si="3"/>
        <v>-23211124.991630495</v>
      </c>
      <c r="Z49" s="20">
        <f t="shared" si="3"/>
        <v>-22627700.996855021</v>
      </c>
      <c r="AA49" s="20">
        <f t="shared" si="3"/>
        <v>-23545181.245726258</v>
      </c>
      <c r="AB49" s="20">
        <f t="shared" si="3"/>
        <v>-24500371.443999499</v>
      </c>
      <c r="AC49" s="20">
        <f t="shared" si="3"/>
        <v>-25494263.103817225</v>
      </c>
      <c r="AD49" s="20">
        <f t="shared" si="3"/>
        <v>-26527866.885150313</v>
      </c>
      <c r="AE49" s="20">
        <f t="shared" si="3"/>
        <v>-24507349.050902247</v>
      </c>
      <c r="AF49" s="20">
        <f t="shared" si="3"/>
        <v>-25530353.949608564</v>
      </c>
      <c r="AG49" s="20">
        <f t="shared" si="3"/>
        <v>-26586121.412729621</v>
      </c>
      <c r="AH49" s="20">
        <f t="shared" si="3"/>
        <v>-27675362.323474556</v>
      </c>
      <c r="AI49" s="20">
        <f t="shared" si="3"/>
        <v>-28798800.215040386</v>
      </c>
      <c r="AJ49" s="20">
        <f t="shared" si="3"/>
        <v>-24419912.134732306</v>
      </c>
    </row>
    <row r="50" spans="1:36" s="2" customFormat="1" x14ac:dyDescent="0.3">
      <c r="A50" s="2" t="s">
        <v>20</v>
      </c>
      <c r="B50" s="36">
        <f t="shared" si="2"/>
        <v>-132506139.22457746</v>
      </c>
      <c r="C50" s="20">
        <v>0</v>
      </c>
      <c r="D50" s="20">
        <v>0</v>
      </c>
      <c r="E50" s="20">
        <v>0</v>
      </c>
      <c r="F50" s="20">
        <f t="shared" ref="F50:U53" si="4">F43-F22-F29-F36</f>
        <v>-22376407.605745703</v>
      </c>
      <c r="G50" s="20">
        <f t="shared" si="4"/>
        <v>-20238515.829398453</v>
      </c>
      <c r="H50" s="20">
        <f t="shared" si="4"/>
        <v>-17919908.984657586</v>
      </c>
      <c r="I50" s="20">
        <f t="shared" si="4"/>
        <v>-38436271.697103187</v>
      </c>
      <c r="J50" s="20">
        <f t="shared" si="4"/>
        <v>-8065082.9464168847</v>
      </c>
      <c r="K50" s="20">
        <f t="shared" si="4"/>
        <v>2269365.6131267548</v>
      </c>
      <c r="L50" s="20">
        <f t="shared" si="4"/>
        <v>1901049.3732599616</v>
      </c>
      <c r="M50" s="20">
        <f t="shared" si="4"/>
        <v>1487081.5373781621</v>
      </c>
      <c r="N50" s="20">
        <f t="shared" si="4"/>
        <v>-1939915.4961180892</v>
      </c>
      <c r="O50" s="20">
        <f t="shared" si="4"/>
        <v>-5405839.5076901121</v>
      </c>
      <c r="P50" s="20">
        <f t="shared" si="4"/>
        <v>-2637634.2106832964</v>
      </c>
      <c r="Q50" s="20">
        <f t="shared" si="4"/>
        <v>-3114836.8926850064</v>
      </c>
      <c r="R50" s="20">
        <f t="shared" si="4"/>
        <v>-3622774.8384439452</v>
      </c>
      <c r="S50" s="20">
        <f t="shared" si="4"/>
        <v>-4162315.3775162501</v>
      </c>
      <c r="T50" s="20">
        <f t="shared" si="4"/>
        <v>-4734340.5843412979</v>
      </c>
      <c r="U50" s="20">
        <f t="shared" si="4"/>
        <v>-3012102.258930753</v>
      </c>
      <c r="V50" s="20">
        <f t="shared" si="3"/>
        <v>-3679852.4172443552</v>
      </c>
      <c r="W50" s="20">
        <f t="shared" si="3"/>
        <v>-4353939.5654356582</v>
      </c>
      <c r="X50" s="20">
        <f t="shared" si="3"/>
        <v>-5034151.9635630352</v>
      </c>
      <c r="Y50" s="20">
        <f t="shared" si="3"/>
        <v>-5720241.3528307481</v>
      </c>
      <c r="Z50" s="20">
        <f t="shared" si="3"/>
        <v>-4874771.4309511585</v>
      </c>
      <c r="AA50" s="20">
        <f t="shared" si="3"/>
        <v>-5536271.754062484</v>
      </c>
      <c r="AB50" s="20">
        <f t="shared" si="3"/>
        <v>-6234105.075747381</v>
      </c>
      <c r="AC50" s="20">
        <f t="shared" si="3"/>
        <v>-6969255.1131087048</v>
      </c>
      <c r="AD50" s="20">
        <f t="shared" si="3"/>
        <v>-7742724.2490011258</v>
      </c>
      <c r="AE50" s="20">
        <f t="shared" si="3"/>
        <v>-5460669.9779422386</v>
      </c>
      <c r="AF50" s="20">
        <f t="shared" si="3"/>
        <v>-6219600.3808350964</v>
      </c>
      <c r="AG50" s="20">
        <f t="shared" si="3"/>
        <v>-7008725.0244802041</v>
      </c>
      <c r="AH50" s="20">
        <f t="shared" si="3"/>
        <v>-7828724.1482129497</v>
      </c>
      <c r="AI50" s="20">
        <f t="shared" si="3"/>
        <v>-8680290.2571665458</v>
      </c>
      <c r="AJ50" s="20">
        <f t="shared" si="3"/>
        <v>-4026868.98134623</v>
      </c>
    </row>
    <row r="51" spans="1:36" s="2" customFormat="1" x14ac:dyDescent="0.3">
      <c r="A51" s="2" t="s">
        <v>21</v>
      </c>
      <c r="B51" s="36">
        <f t="shared" si="2"/>
        <v>-142581696.24432701</v>
      </c>
      <c r="C51" s="20">
        <v>0</v>
      </c>
      <c r="D51" s="20">
        <v>0</v>
      </c>
      <c r="E51" s="20">
        <v>0</v>
      </c>
      <c r="F51" s="20">
        <f t="shared" si="4"/>
        <v>-79876407.605745703</v>
      </c>
      <c r="G51" s="20">
        <f t="shared" si="3"/>
        <v>-227526015.82939845</v>
      </c>
      <c r="H51" s="20">
        <f t="shared" si="3"/>
        <v>-99090742.317990929</v>
      </c>
      <c r="I51" s="20">
        <f t="shared" si="3"/>
        <v>12515735.272165537</v>
      </c>
      <c r="J51" s="20">
        <f t="shared" si="3"/>
        <v>13074755.092832834</v>
      </c>
      <c r="K51" s="20">
        <f t="shared" si="3"/>
        <v>22325655.77006644</v>
      </c>
      <c r="L51" s="20">
        <f t="shared" si="3"/>
        <v>22105953.74401781</v>
      </c>
      <c r="M51" s="20">
        <f t="shared" si="3"/>
        <v>21837750.320216328</v>
      </c>
      <c r="N51" s="20">
        <f t="shared" si="3"/>
        <v>13349315.973846424</v>
      </c>
      <c r="O51" s="20">
        <f t="shared" si="3"/>
        <v>12995260.354463208</v>
      </c>
      <c r="P51" s="20">
        <f t="shared" si="3"/>
        <v>15359064.950627107</v>
      </c>
      <c r="Q51" s="20">
        <f t="shared" si="3"/>
        <v>14994838.182672251</v>
      </c>
      <c r="R51" s="20">
        <f t="shared" si="3"/>
        <v>14598135.790067155</v>
      </c>
      <c r="S51" s="20">
        <f t="shared" si="3"/>
        <v>14168039.611745942</v>
      </c>
      <c r="T51" s="20">
        <f t="shared" si="3"/>
        <v>13703616.147757489</v>
      </c>
      <c r="U51" s="20">
        <f t="shared" si="3"/>
        <v>15596040.098104496</v>
      </c>
      <c r="V51" s="20">
        <f t="shared" si="3"/>
        <v>15055078.036946405</v>
      </c>
      <c r="W51" s="20">
        <f t="shared" si="3"/>
        <v>14508220.110524792</v>
      </c>
      <c r="X51" s="20">
        <f t="shared" si="3"/>
        <v>13955664.563226212</v>
      </c>
      <c r="Y51" s="20">
        <f t="shared" si="3"/>
        <v>13397647.288715322</v>
      </c>
      <c r="Z51" s="20">
        <f t="shared" si="3"/>
        <v>14341725.801885743</v>
      </c>
      <c r="AA51" s="20">
        <f t="shared" si="3"/>
        <v>13798699.718212891</v>
      </c>
      <c r="AB51" s="20">
        <f t="shared" si="3"/>
        <v>13217219.131395239</v>
      </c>
      <c r="AC51" s="20">
        <f t="shared" si="3"/>
        <v>12596236.762258071</v>
      </c>
      <c r="AD51" s="20">
        <f t="shared" si="3"/>
        <v>11934685.558705468</v>
      </c>
      <c r="AE51" s="20">
        <f t="shared" si="3"/>
        <v>13618131.659151215</v>
      </c>
      <c r="AF51" s="20">
        <f t="shared" si="3"/>
        <v>12953987.148123283</v>
      </c>
      <c r="AG51" s="20">
        <f t="shared" si="3"/>
        <v>12257690.511720408</v>
      </c>
      <c r="AH51" s="20">
        <f t="shared" si="3"/>
        <v>11528502.246921021</v>
      </c>
      <c r="AI51" s="20">
        <f t="shared" si="3"/>
        <v>10765669.270286519</v>
      </c>
      <c r="AJ51" s="20">
        <f t="shared" si="3"/>
        <v>12826719.963865776</v>
      </c>
    </row>
    <row r="52" spans="1:36" s="2" customFormat="1" x14ac:dyDescent="0.3">
      <c r="A52" s="2" t="s">
        <v>22</v>
      </c>
      <c r="B52" s="36">
        <f t="shared" si="2"/>
        <v>-165035407.76790151</v>
      </c>
      <c r="C52" s="20">
        <v>0</v>
      </c>
      <c r="D52" s="20">
        <v>0</v>
      </c>
      <c r="E52" s="20">
        <v>0</v>
      </c>
      <c r="F52" s="20">
        <f t="shared" si="4"/>
        <v>-22376407.605745703</v>
      </c>
      <c r="G52" s="20">
        <f t="shared" si="3"/>
        <v>-25488515.829398453</v>
      </c>
      <c r="H52" s="20">
        <f t="shared" si="3"/>
        <v>-27669908.984657586</v>
      </c>
      <c r="I52" s="20">
        <f t="shared" si="3"/>
        <v>-14059743.630543774</v>
      </c>
      <c r="J52" s="20">
        <f t="shared" si="3"/>
        <v>-13448983.120487725</v>
      </c>
      <c r="K52" s="20">
        <f t="shared" si="3"/>
        <v>-4568122.5481711682</v>
      </c>
      <c r="L52" s="20">
        <f t="shared" si="3"/>
        <v>-4660091.5538433846</v>
      </c>
      <c r="M52" s="20">
        <f t="shared" si="3"/>
        <v>-4798352.7477097865</v>
      </c>
      <c r="N52" s="20">
        <f t="shared" si="3"/>
        <v>-12088225.454511242</v>
      </c>
      <c r="O52" s="20">
        <f t="shared" si="3"/>
        <v>-12307804.435808556</v>
      </c>
      <c r="P52" s="20">
        <f t="shared" si="3"/>
        <v>-9861493.6954932977</v>
      </c>
      <c r="Q52" s="20">
        <f t="shared" si="3"/>
        <v>-10098387.078360187</v>
      </c>
      <c r="R52" s="20">
        <f t="shared" si="3"/>
        <v>-10365622.556445466</v>
      </c>
      <c r="S52" s="20">
        <f t="shared" si="3"/>
        <v>-10664082.032878058</v>
      </c>
      <c r="T52" s="20">
        <f t="shared" si="3"/>
        <v>-10994662.147391366</v>
      </c>
      <c r="U52" s="20">
        <f t="shared" si="3"/>
        <v>-9073134.5951233376</v>
      </c>
      <c r="V52" s="20">
        <f t="shared" si="3"/>
        <v>-9452976.4230308402</v>
      </c>
      <c r="W52" s="20">
        <f t="shared" si="3"/>
        <v>-9835865.3001749087</v>
      </c>
      <c r="X52" s="20">
        <f t="shared" si="3"/>
        <v>-10221552.707437711</v>
      </c>
      <c r="Y52" s="20">
        <f t="shared" si="3"/>
        <v>-10609751.620730447</v>
      </c>
      <c r="Z52" s="20">
        <f t="shared" si="3"/>
        <v>-9565553.720749842</v>
      </c>
      <c r="AA52" s="20">
        <f t="shared" si="3"/>
        <v>-9942638.257230835</v>
      </c>
      <c r="AB52" s="20">
        <f t="shared" si="3"/>
        <v>-10355285.05022146</v>
      </c>
      <c r="AC52" s="20">
        <f t="shared" si="3"/>
        <v>-10804491.020413088</v>
      </c>
      <c r="AD52" s="20">
        <f t="shared" si="3"/>
        <v>5222652.4323535226</v>
      </c>
      <c r="AE52" s="20">
        <f t="shared" si="3"/>
        <v>6953464.8814887069</v>
      </c>
      <c r="AF52" s="20">
        <f t="shared" si="3"/>
        <v>6467538.339481201</v>
      </c>
      <c r="AG52" s="20">
        <f t="shared" si="3"/>
        <v>5952563.2434921227</v>
      </c>
      <c r="AH52" s="20">
        <f t="shared" si="3"/>
        <v>5407853.9970788024</v>
      </c>
      <c r="AI52" s="20">
        <f t="shared" si="3"/>
        <v>4832712.3318988942</v>
      </c>
      <c r="AJ52" s="20">
        <f t="shared" si="3"/>
        <v>6926415.0125211738</v>
      </c>
    </row>
    <row r="53" spans="1:36" s="2" customFormat="1" x14ac:dyDescent="0.3">
      <c r="A53" s="35" t="s">
        <v>23</v>
      </c>
      <c r="B53" s="36">
        <f>NPV(0.04,D53:AJ53)</f>
        <v>-98079636.600576252</v>
      </c>
      <c r="C53" s="37">
        <v>0</v>
      </c>
      <c r="D53" s="37">
        <v>0</v>
      </c>
      <c r="E53" s="37">
        <v>0</v>
      </c>
      <c r="F53" s="37">
        <f t="shared" si="4"/>
        <v>-76126407.605745703</v>
      </c>
      <c r="G53" s="37">
        <f t="shared" si="3"/>
        <v>-214401015.82939845</v>
      </c>
      <c r="H53" s="37">
        <f t="shared" si="3"/>
        <v>-93796992.317990929</v>
      </c>
      <c r="I53" s="37">
        <f t="shared" si="3"/>
        <v>11952393.32039547</v>
      </c>
      <c r="J53" s="37">
        <f t="shared" si="3"/>
        <v>12524348.313409954</v>
      </c>
      <c r="K53" s="37">
        <f t="shared" si="3"/>
        <v>21682738.964414299</v>
      </c>
      <c r="L53" s="37">
        <f t="shared" si="3"/>
        <v>21494970.193459779</v>
      </c>
      <c r="M53" s="37">
        <f t="shared" si="3"/>
        <v>21259252.32714206</v>
      </c>
      <c r="N53" s="37">
        <f t="shared" si="3"/>
        <v>15810569.997807117</v>
      </c>
      <c r="O53" s="37">
        <f t="shared" si="3"/>
        <v>15490133.537945362</v>
      </c>
      <c r="P53" s="37">
        <f t="shared" si="3"/>
        <v>17874564.670147121</v>
      </c>
      <c r="Q53" s="37">
        <f t="shared" si="3"/>
        <v>17542171.248464257</v>
      </c>
      <c r="R53" s="37">
        <f t="shared" si="3"/>
        <v>17177835.584489107</v>
      </c>
      <c r="S53" s="37">
        <f t="shared" si="3"/>
        <v>16780648.581640065</v>
      </c>
      <c r="T53" s="37">
        <f t="shared" si="3"/>
        <v>16349685.95502037</v>
      </c>
      <c r="U53" s="37">
        <f t="shared" si="3"/>
        <v>18249385.805847645</v>
      </c>
      <c r="V53" s="37">
        <f t="shared" si="3"/>
        <v>17748703.803002208</v>
      </c>
      <c r="W53" s="37">
        <f t="shared" si="3"/>
        <v>17242838.138899982</v>
      </c>
      <c r="X53" s="37">
        <f t="shared" si="3"/>
        <v>16731999.626610341</v>
      </c>
      <c r="Y53" s="37">
        <f t="shared" si="3"/>
        <v>16216436.942404004</v>
      </c>
      <c r="Z53" s="37">
        <f t="shared" si="3"/>
        <v>17185545.302276939</v>
      </c>
      <c r="AA53" s="37">
        <f t="shared" si="3"/>
        <v>16684004.605402054</v>
      </c>
      <c r="AB53" s="37">
        <f t="shared" si="3"/>
        <v>16144732.467041166</v>
      </c>
      <c r="AC53" s="37">
        <f t="shared" si="3"/>
        <v>15566694.197640391</v>
      </c>
      <c r="AD53" s="37">
        <f t="shared" si="3"/>
        <v>14948835.547206523</v>
      </c>
      <c r="AE53" s="37">
        <f t="shared" si="3"/>
        <v>16644123.23482463</v>
      </c>
      <c r="AF53" s="37">
        <f t="shared" si="3"/>
        <v>16024533.216051819</v>
      </c>
      <c r="AG53" s="37">
        <f t="shared" si="3"/>
        <v>15373566.964752378</v>
      </c>
      <c r="AH53" s="37">
        <f t="shared" si="3"/>
        <v>14690498.454549523</v>
      </c>
      <c r="AI53" s="37">
        <f t="shared" si="3"/>
        <v>13974588.305778684</v>
      </c>
      <c r="AJ53" s="37">
        <f t="shared" si="3"/>
        <v>16043801.996118667</v>
      </c>
    </row>
    <row r="55" spans="1:36" x14ac:dyDescent="0.3">
      <c r="A55" s="6" t="s">
        <v>39</v>
      </c>
    </row>
    <row r="56" spans="1:36" x14ac:dyDescent="0.3">
      <c r="A56" s="2" t="s">
        <v>20</v>
      </c>
      <c r="B56" s="36">
        <f t="shared" ref="B56:B58" si="5">NPV(0.04,D56:AJ56)</f>
        <v>254363698.47712722</v>
      </c>
      <c r="C56" s="37">
        <f>C50-C$49</f>
        <v>0</v>
      </c>
      <c r="D56" s="37">
        <f t="shared" ref="D56:AJ59" si="6">D50-D$49</f>
        <v>0</v>
      </c>
      <c r="E56" s="37">
        <f t="shared" si="6"/>
        <v>0</v>
      </c>
      <c r="F56" s="37">
        <f t="shared" si="6"/>
        <v>11409732.588038385</v>
      </c>
      <c r="G56" s="37">
        <f t="shared" si="6"/>
        <v>11587325.582175642</v>
      </c>
      <c r="H56" s="37">
        <f t="shared" si="6"/>
        <v>11760114.925522238</v>
      </c>
      <c r="I56" s="37">
        <f t="shared" si="6"/>
        <v>-9905341.549039796</v>
      </c>
      <c r="J56" s="37">
        <f t="shared" si="6"/>
        <v>20034656.932688832</v>
      </c>
      <c r="K56" s="37">
        <f t="shared" si="6"/>
        <v>20268021.167776853</v>
      </c>
      <c r="L56" s="37">
        <f t="shared" si="6"/>
        <v>20490512.806761235</v>
      </c>
      <c r="M56" s="37">
        <f t="shared" si="6"/>
        <v>20711507.705809504</v>
      </c>
      <c r="N56" s="37">
        <f t="shared" si="6"/>
        <v>17960815.996203966</v>
      </c>
      <c r="O56" s="37">
        <f t="shared" si="6"/>
        <v>15209875.034206767</v>
      </c>
      <c r="P56" s="37">
        <f t="shared" si="6"/>
        <v>15430095.546912063</v>
      </c>
      <c r="Q56" s="37">
        <f t="shared" si="6"/>
        <v>15642110.854100008</v>
      </c>
      <c r="R56" s="37">
        <f t="shared" si="6"/>
        <v>15854789.581195224</v>
      </c>
      <c r="S56" s="37">
        <f t="shared" si="6"/>
        <v>16068129.835568685</v>
      </c>
      <c r="T56" s="37">
        <f t="shared" si="6"/>
        <v>16282130.419104148</v>
      </c>
      <c r="U56" s="37">
        <f t="shared" si="6"/>
        <v>16496790.843556274</v>
      </c>
      <c r="V56" s="37">
        <f t="shared" si="6"/>
        <v>16737372.998239953</v>
      </c>
      <c r="W56" s="37">
        <f t="shared" si="6"/>
        <v>16983193.683375884</v>
      </c>
      <c r="X56" s="37">
        <f t="shared" si="6"/>
        <v>17234335.139345575</v>
      </c>
      <c r="Y56" s="37">
        <f t="shared" si="6"/>
        <v>17490883.638799746</v>
      </c>
      <c r="Z56" s="37">
        <f t="shared" si="6"/>
        <v>17752929.565903861</v>
      </c>
      <c r="AA56" s="37">
        <f t="shared" si="6"/>
        <v>18008909.491663773</v>
      </c>
      <c r="AB56" s="37">
        <f t="shared" si="6"/>
        <v>18266266.368252117</v>
      </c>
      <c r="AC56" s="37">
        <f t="shared" si="6"/>
        <v>18525007.990708519</v>
      </c>
      <c r="AD56" s="37">
        <f t="shared" si="6"/>
        <v>18785142.636149187</v>
      </c>
      <c r="AE56" s="37">
        <f t="shared" si="6"/>
        <v>19046679.072960008</v>
      </c>
      <c r="AF56" s="37">
        <f t="shared" si="6"/>
        <v>19310753.568773467</v>
      </c>
      <c r="AG56" s="37">
        <f t="shared" si="6"/>
        <v>19577396.388249416</v>
      </c>
      <c r="AH56" s="37">
        <f t="shared" si="6"/>
        <v>19846638.175261606</v>
      </c>
      <c r="AI56" s="37">
        <f t="shared" si="6"/>
        <v>20118509.95787384</v>
      </c>
      <c r="AJ56" s="37">
        <f t="shared" si="6"/>
        <v>20393043.153386075</v>
      </c>
    </row>
    <row r="57" spans="1:36" x14ac:dyDescent="0.3">
      <c r="A57" s="2" t="s">
        <v>21</v>
      </c>
      <c r="B57" s="36">
        <f t="shared" si="5"/>
        <v>244288141.45737764</v>
      </c>
      <c r="C57" s="37">
        <f t="shared" ref="C57:R59" si="7">C51-C$49</f>
        <v>0</v>
      </c>
      <c r="D57" s="37">
        <f t="shared" si="7"/>
        <v>0</v>
      </c>
      <c r="E57" s="37">
        <f t="shared" si="7"/>
        <v>0</v>
      </c>
      <c r="F57" s="37">
        <f t="shared" si="7"/>
        <v>-46090267.411961615</v>
      </c>
      <c r="G57" s="37">
        <f t="shared" si="7"/>
        <v>-195700174.41782436</v>
      </c>
      <c r="H57" s="37">
        <f t="shared" si="7"/>
        <v>-69410718.407811105</v>
      </c>
      <c r="I57" s="37">
        <f t="shared" si="7"/>
        <v>41046665.420228928</v>
      </c>
      <c r="J57" s="37">
        <f t="shared" si="7"/>
        <v>41174494.97193855</v>
      </c>
      <c r="K57" s="37">
        <f t="shared" si="7"/>
        <v>40324311.324716538</v>
      </c>
      <c r="L57" s="37">
        <f t="shared" si="7"/>
        <v>40695417.177519083</v>
      </c>
      <c r="M57" s="37">
        <f t="shared" si="7"/>
        <v>41062176.48864767</v>
      </c>
      <c r="N57" s="37">
        <f t="shared" si="7"/>
        <v>33250047.466168482</v>
      </c>
      <c r="O57" s="37">
        <f t="shared" si="7"/>
        <v>33610974.896360084</v>
      </c>
      <c r="P57" s="37">
        <f t="shared" si="7"/>
        <v>33426794.708222467</v>
      </c>
      <c r="Q57" s="37">
        <f t="shared" si="7"/>
        <v>33751785.929457262</v>
      </c>
      <c r="R57" s="37">
        <f t="shared" si="7"/>
        <v>34075700.209706321</v>
      </c>
      <c r="S57" s="37">
        <f t="shared" si="6"/>
        <v>34398484.824830875</v>
      </c>
      <c r="T57" s="37">
        <f t="shared" si="6"/>
        <v>34720087.151202932</v>
      </c>
      <c r="U57" s="37">
        <f t="shared" si="6"/>
        <v>35104933.200591519</v>
      </c>
      <c r="V57" s="37">
        <f t="shared" si="6"/>
        <v>35472303.45243071</v>
      </c>
      <c r="W57" s="37">
        <f t="shared" si="6"/>
        <v>35845353.359336331</v>
      </c>
      <c r="X57" s="37">
        <f t="shared" si="6"/>
        <v>36224151.666134819</v>
      </c>
      <c r="Y57" s="37">
        <f t="shared" si="6"/>
        <v>36608772.280345812</v>
      </c>
      <c r="Z57" s="37">
        <f t="shared" si="6"/>
        <v>36969426.798740759</v>
      </c>
      <c r="AA57" s="37">
        <f t="shared" si="6"/>
        <v>37343880.963939145</v>
      </c>
      <c r="AB57" s="37">
        <f t="shared" si="6"/>
        <v>37717590.575394735</v>
      </c>
      <c r="AC57" s="37">
        <f t="shared" si="6"/>
        <v>38090499.866075292</v>
      </c>
      <c r="AD57" s="37">
        <f t="shared" si="6"/>
        <v>38462552.443855777</v>
      </c>
      <c r="AE57" s="37">
        <f t="shared" si="6"/>
        <v>38125480.710053459</v>
      </c>
      <c r="AF57" s="37">
        <f t="shared" si="6"/>
        <v>38484341.097731844</v>
      </c>
      <c r="AG57" s="37">
        <f t="shared" si="6"/>
        <v>38843811.924450025</v>
      </c>
      <c r="AH57" s="37">
        <f t="shared" si="6"/>
        <v>39203864.570395574</v>
      </c>
      <c r="AI57" s="37">
        <f t="shared" si="6"/>
        <v>39564469.485326901</v>
      </c>
      <c r="AJ57" s="37">
        <f t="shared" si="6"/>
        <v>37246632.098598078</v>
      </c>
    </row>
    <row r="58" spans="1:36" x14ac:dyDescent="0.3">
      <c r="A58" s="2" t="s">
        <v>22</v>
      </c>
      <c r="B58" s="36">
        <f t="shared" si="5"/>
        <v>221834429.93380314</v>
      </c>
      <c r="C58" s="37">
        <f t="shared" si="7"/>
        <v>0</v>
      </c>
      <c r="D58" s="37">
        <f t="shared" si="6"/>
        <v>0</v>
      </c>
      <c r="E58" s="37">
        <f t="shared" si="6"/>
        <v>0</v>
      </c>
      <c r="F58" s="37">
        <f t="shared" si="6"/>
        <v>11409732.588038385</v>
      </c>
      <c r="G58" s="37">
        <f t="shared" si="6"/>
        <v>6337325.5821756423</v>
      </c>
      <c r="H58" s="37">
        <f t="shared" si="6"/>
        <v>2010114.925522238</v>
      </c>
      <c r="I58" s="37">
        <f t="shared" si="6"/>
        <v>14471186.517519617</v>
      </c>
      <c r="J58" s="37">
        <f t="shared" si="6"/>
        <v>14650756.758617992</v>
      </c>
      <c r="K58" s="37">
        <f t="shared" si="6"/>
        <v>13430533.00647893</v>
      </c>
      <c r="L58" s="37">
        <f t="shared" si="6"/>
        <v>13929371.879657889</v>
      </c>
      <c r="M58" s="37">
        <f t="shared" si="6"/>
        <v>14426073.420721555</v>
      </c>
      <c r="N58" s="37">
        <f t="shared" si="6"/>
        <v>7812506.0378108155</v>
      </c>
      <c r="O58" s="37">
        <f t="shared" si="6"/>
        <v>8307910.1060883235</v>
      </c>
      <c r="P58" s="37">
        <f t="shared" si="6"/>
        <v>8206236.0621020626</v>
      </c>
      <c r="Q58" s="37">
        <f t="shared" si="6"/>
        <v>8658560.668424828</v>
      </c>
      <c r="R58" s="37">
        <f t="shared" si="6"/>
        <v>9111941.8631937038</v>
      </c>
      <c r="S58" s="37">
        <f t="shared" si="6"/>
        <v>9566363.1802068781</v>
      </c>
      <c r="T58" s="37">
        <f t="shared" si="6"/>
        <v>10021808.856054081</v>
      </c>
      <c r="U58" s="37">
        <f t="shared" si="6"/>
        <v>10435758.50736369</v>
      </c>
      <c r="V58" s="37">
        <f t="shared" si="6"/>
        <v>10964248.992453469</v>
      </c>
      <c r="W58" s="37">
        <f t="shared" si="6"/>
        <v>11501267.948636634</v>
      </c>
      <c r="X58" s="37">
        <f t="shared" si="6"/>
        <v>12046934.3954709</v>
      </c>
      <c r="Y58" s="37">
        <f t="shared" si="6"/>
        <v>12601373.370900048</v>
      </c>
      <c r="Z58" s="37">
        <f t="shared" si="6"/>
        <v>13062147.276105179</v>
      </c>
      <c r="AA58" s="37">
        <f t="shared" si="6"/>
        <v>13602542.988495423</v>
      </c>
      <c r="AB58" s="37">
        <f t="shared" si="6"/>
        <v>14145086.393778039</v>
      </c>
      <c r="AC58" s="37">
        <f t="shared" si="6"/>
        <v>14689772.083404137</v>
      </c>
      <c r="AD58" s="37">
        <f t="shared" si="6"/>
        <v>31750519.317503836</v>
      </c>
      <c r="AE58" s="37">
        <f t="shared" si="6"/>
        <v>31460813.932390954</v>
      </c>
      <c r="AF58" s="37">
        <f t="shared" si="6"/>
        <v>31997892.289089765</v>
      </c>
      <c r="AG58" s="37">
        <f t="shared" si="6"/>
        <v>32538684.656221744</v>
      </c>
      <c r="AH58" s="37">
        <f t="shared" si="6"/>
        <v>33083216.320553359</v>
      </c>
      <c r="AI58" s="37">
        <f t="shared" si="6"/>
        <v>33631512.546939284</v>
      </c>
      <c r="AJ58" s="37">
        <f t="shared" si="6"/>
        <v>31346327.14725348</v>
      </c>
    </row>
    <row r="59" spans="1:36" x14ac:dyDescent="0.3">
      <c r="A59" s="7" t="s">
        <v>23</v>
      </c>
      <c r="B59" s="23">
        <f>NPV(0.04,D59:AJ59)</f>
        <v>288790201.10112852</v>
      </c>
      <c r="C59" s="21">
        <f t="shared" si="7"/>
        <v>0</v>
      </c>
      <c r="D59" s="21">
        <f t="shared" si="6"/>
        <v>0</v>
      </c>
      <c r="E59" s="21">
        <f t="shared" si="6"/>
        <v>0</v>
      </c>
      <c r="F59" s="21">
        <f t="shared" si="6"/>
        <v>-42340267.411961615</v>
      </c>
      <c r="G59" s="21">
        <f t="shared" si="6"/>
        <v>-182575174.41782436</v>
      </c>
      <c r="H59" s="21">
        <f t="shared" si="6"/>
        <v>-64116968.407811105</v>
      </c>
      <c r="I59" s="21">
        <f t="shared" si="6"/>
        <v>40483323.468458861</v>
      </c>
      <c r="J59" s="21">
        <f t="shared" si="6"/>
        <v>40624088.192515671</v>
      </c>
      <c r="K59" s="21">
        <f t="shared" si="6"/>
        <v>39681394.519064397</v>
      </c>
      <c r="L59" s="21">
        <f t="shared" si="6"/>
        <v>40084433.626961052</v>
      </c>
      <c r="M59" s="21">
        <f t="shared" si="6"/>
        <v>40483678.495573401</v>
      </c>
      <c r="N59" s="21">
        <f t="shared" si="6"/>
        <v>35711301.490129173</v>
      </c>
      <c r="O59" s="21">
        <f t="shared" si="6"/>
        <v>36105848.07984224</v>
      </c>
      <c r="P59" s="21">
        <f t="shared" si="6"/>
        <v>35942294.427742481</v>
      </c>
      <c r="Q59" s="21">
        <f t="shared" si="6"/>
        <v>36299118.995249271</v>
      </c>
      <c r="R59" s="21">
        <f t="shared" si="6"/>
        <v>36655400.004128277</v>
      </c>
      <c r="S59" s="21">
        <f t="shared" si="6"/>
        <v>37011093.794725001</v>
      </c>
      <c r="T59" s="21">
        <f t="shared" si="6"/>
        <v>37366156.958465815</v>
      </c>
      <c r="U59" s="21">
        <f t="shared" si="6"/>
        <v>37758278.908334672</v>
      </c>
      <c r="V59" s="21">
        <f t="shared" si="6"/>
        <v>38165929.218486518</v>
      </c>
      <c r="W59" s="21">
        <f t="shared" si="6"/>
        <v>38579971.387711525</v>
      </c>
      <c r="X59" s="21">
        <f t="shared" si="6"/>
        <v>39000486.72951895</v>
      </c>
      <c r="Y59" s="21">
        <f t="shared" si="6"/>
        <v>39427561.934034497</v>
      </c>
      <c r="Z59" s="21">
        <f t="shared" si="6"/>
        <v>39813246.29913196</v>
      </c>
      <c r="AA59" s="21">
        <f t="shared" si="6"/>
        <v>40229185.85112831</v>
      </c>
      <c r="AB59" s="21">
        <f t="shared" si="6"/>
        <v>40645103.911040664</v>
      </c>
      <c r="AC59" s="21">
        <f t="shared" si="6"/>
        <v>41060957.301457614</v>
      </c>
      <c r="AD59" s="21">
        <f t="shared" si="6"/>
        <v>41476702.432356834</v>
      </c>
      <c r="AE59" s="21">
        <f t="shared" si="6"/>
        <v>41151472.285726875</v>
      </c>
      <c r="AF59" s="21">
        <f t="shared" si="6"/>
        <v>41554887.165660381</v>
      </c>
      <c r="AG59" s="21">
        <f t="shared" si="6"/>
        <v>41959688.377481997</v>
      </c>
      <c r="AH59" s="21">
        <f t="shared" si="6"/>
        <v>42365860.778024077</v>
      </c>
      <c r="AI59" s="21">
        <f t="shared" si="6"/>
        <v>42773388.520819068</v>
      </c>
      <c r="AJ59" s="21">
        <f t="shared" si="6"/>
        <v>40463714.130850971</v>
      </c>
    </row>
    <row r="61" spans="1:36" x14ac:dyDescent="0.3">
      <c r="B61" s="28"/>
    </row>
  </sheetData>
  <conditionalFormatting sqref="F49:AJ53">
    <cfRule type="cellIs" dxfId="4" priority="3" operator="lessThan">
      <formula>0</formula>
    </cfRule>
  </conditionalFormatting>
  <conditionalFormatting sqref="F42:AJ46">
    <cfRule type="cellIs" dxfId="3" priority="2" operator="lessThan">
      <formula>0</formula>
    </cfRule>
  </conditionalFormatting>
  <conditionalFormatting sqref="C56:AJ59">
    <cfRule type="cellIs" dxfId="2" priority="1" operator="lessThan">
      <formula>0</formula>
    </cfRule>
  </conditionalFormatting>
  <hyperlinks>
    <hyperlink ref="B1" location="novaUNB_podklady!R1C1" display="späť na obsah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6.5" x14ac:dyDescent="0.3"/>
  <cols>
    <col min="1" max="1" width="58.28515625" style="1" bestFit="1" customWidth="1"/>
    <col min="2" max="2" width="12.28515625" style="1" bestFit="1" customWidth="1"/>
    <col min="3" max="16384" width="9.140625" style="1"/>
  </cols>
  <sheetData>
    <row r="1" spans="1:2" x14ac:dyDescent="0.3">
      <c r="A1" s="1" t="s">
        <v>0</v>
      </c>
      <c r="B1" s="32" t="s">
        <v>27</v>
      </c>
    </row>
    <row r="2" spans="1:2" x14ac:dyDescent="0.3">
      <c r="A2" s="2" t="s">
        <v>1</v>
      </c>
    </row>
    <row r="3" spans="1:2" x14ac:dyDescent="0.3">
      <c r="A3" s="4">
        <v>42828</v>
      </c>
    </row>
    <row r="5" spans="1:2" x14ac:dyDescent="0.3">
      <c r="A5" s="1" t="s">
        <v>40</v>
      </c>
    </row>
    <row r="6" spans="1:2" x14ac:dyDescent="0.3">
      <c r="A6" s="2" t="s">
        <v>41</v>
      </c>
    </row>
    <row r="7" spans="1:2" x14ac:dyDescent="0.3">
      <c r="A7" s="35"/>
      <c r="B7" s="33"/>
    </row>
    <row r="8" spans="1:2" x14ac:dyDescent="0.3">
      <c r="A8" s="10" t="s">
        <v>42</v>
      </c>
      <c r="B8" s="10" t="s">
        <v>43</v>
      </c>
    </row>
    <row r="9" spans="1:2" x14ac:dyDescent="0.3">
      <c r="A9" s="1" t="s">
        <v>20</v>
      </c>
      <c r="B9" s="28">
        <f>novaUNB_financna_projekt!B56</f>
        <v>254363698.47712722</v>
      </c>
    </row>
    <row r="10" spans="1:2" x14ac:dyDescent="0.3">
      <c r="A10" s="1" t="s">
        <v>21</v>
      </c>
      <c r="B10" s="28">
        <f>novaUNB_financna_projekt!B57</f>
        <v>244288141.45737764</v>
      </c>
    </row>
    <row r="11" spans="1:2" x14ac:dyDescent="0.3">
      <c r="A11" s="1" t="s">
        <v>22</v>
      </c>
      <c r="B11" s="28">
        <f>novaUNB_financna_projekt!B58</f>
        <v>221834429.93380314</v>
      </c>
    </row>
    <row r="12" spans="1:2" x14ac:dyDescent="0.3">
      <c r="A12" s="8" t="s">
        <v>23</v>
      </c>
      <c r="B12" s="38">
        <f>novaUNB_financna_projekt!B59</f>
        <v>288790201.10112852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6.5" x14ac:dyDescent="0.3"/>
  <cols>
    <col min="1" max="1" width="27.42578125" style="1" customWidth="1"/>
    <col min="2" max="2" width="21.140625" style="1" bestFit="1" customWidth="1"/>
    <col min="3" max="3" width="14.7109375" style="1" bestFit="1" customWidth="1"/>
    <col min="4" max="16384" width="9.140625" style="1"/>
  </cols>
  <sheetData>
    <row r="1" spans="1:8" x14ac:dyDescent="0.3">
      <c r="A1" s="1" t="s">
        <v>0</v>
      </c>
      <c r="B1" s="32" t="s">
        <v>27</v>
      </c>
    </row>
    <row r="2" spans="1:8" x14ac:dyDescent="0.3">
      <c r="A2" s="2" t="s">
        <v>1</v>
      </c>
    </row>
    <row r="3" spans="1:8" x14ac:dyDescent="0.3">
      <c r="A3" s="4">
        <v>42828</v>
      </c>
    </row>
    <row r="5" spans="1:8" x14ac:dyDescent="0.3">
      <c r="A5" s="1" t="s">
        <v>44</v>
      </c>
    </row>
    <row r="6" spans="1:8" x14ac:dyDescent="0.3">
      <c r="A6" s="2" t="s">
        <v>45</v>
      </c>
    </row>
    <row r="8" spans="1:8" x14ac:dyDescent="0.3">
      <c r="A8" s="10" t="s">
        <v>55</v>
      </c>
      <c r="B8" s="10" t="s">
        <v>50</v>
      </c>
      <c r="C8" s="10" t="s">
        <v>51</v>
      </c>
      <c r="D8" s="10">
        <v>2015</v>
      </c>
      <c r="E8" s="10">
        <v>2020</v>
      </c>
      <c r="F8" s="10">
        <v>2030</v>
      </c>
      <c r="G8" s="10">
        <v>2040</v>
      </c>
      <c r="H8" s="10">
        <v>2050</v>
      </c>
    </row>
    <row r="9" spans="1:8" x14ac:dyDescent="0.3">
      <c r="A9" s="1" t="s">
        <v>46</v>
      </c>
      <c r="B9" s="3" t="s">
        <v>48</v>
      </c>
      <c r="C9" s="1" t="s">
        <v>52</v>
      </c>
      <c r="D9" s="39">
        <v>1</v>
      </c>
      <c r="E9" s="39">
        <v>1.0915421368303344</v>
      </c>
      <c r="F9" s="39">
        <v>0.86224458676425741</v>
      </c>
      <c r="G9" s="39">
        <v>0.6502388939717394</v>
      </c>
      <c r="H9" s="39">
        <v>0.42211039951204637</v>
      </c>
    </row>
    <row r="10" spans="1:8" x14ac:dyDescent="0.3">
      <c r="B10" s="3"/>
      <c r="C10" s="1" t="s">
        <v>53</v>
      </c>
      <c r="D10" s="39">
        <v>1</v>
      </c>
      <c r="E10" s="39">
        <v>0.97141983799480358</v>
      </c>
      <c r="F10" s="39">
        <v>1.0042562257142724</v>
      </c>
      <c r="G10" s="39">
        <v>1.0322088375733494</v>
      </c>
      <c r="H10" s="39">
        <v>1.0638730264589964</v>
      </c>
    </row>
    <row r="11" spans="1:8" x14ac:dyDescent="0.3">
      <c r="B11" s="3"/>
      <c r="C11" s="1" t="s">
        <v>54</v>
      </c>
      <c r="D11" s="39">
        <v>1</v>
      </c>
      <c r="E11" s="39">
        <v>1.2559311000951379</v>
      </c>
      <c r="F11" s="39">
        <v>1.6100746081818638</v>
      </c>
      <c r="G11" s="39">
        <v>1.9113164087927494</v>
      </c>
      <c r="H11" s="39">
        <v>2.2293355365279659</v>
      </c>
    </row>
    <row r="12" spans="1:8" x14ac:dyDescent="0.3">
      <c r="A12" s="1" t="s">
        <v>47</v>
      </c>
      <c r="B12" s="3" t="s">
        <v>49</v>
      </c>
      <c r="C12" s="1" t="s">
        <v>52</v>
      </c>
      <c r="D12" s="39">
        <v>1</v>
      </c>
      <c r="E12" s="39">
        <v>1.0166554040624876</v>
      </c>
      <c r="F12" s="39">
        <v>0.94602743257193311</v>
      </c>
      <c r="G12" s="39">
        <v>0.87302768914248818</v>
      </c>
      <c r="H12" s="39">
        <v>0.88453000008431892</v>
      </c>
    </row>
    <row r="13" spans="1:8" x14ac:dyDescent="0.3">
      <c r="B13" s="3"/>
      <c r="C13" s="1" t="s">
        <v>53</v>
      </c>
      <c r="D13" s="39">
        <v>1</v>
      </c>
      <c r="E13" s="39">
        <v>0.96719704748390123</v>
      </c>
      <c r="F13" s="39">
        <v>0.92030986709661167</v>
      </c>
      <c r="G13" s="39">
        <v>0.87138006550888569</v>
      </c>
      <c r="H13" s="39">
        <v>0.78220864415801727</v>
      </c>
    </row>
    <row r="14" spans="1:8" x14ac:dyDescent="0.3">
      <c r="A14" s="8"/>
      <c r="B14" s="42"/>
      <c r="C14" s="8" t="s">
        <v>54</v>
      </c>
      <c r="D14" s="41">
        <v>1</v>
      </c>
      <c r="E14" s="41">
        <v>1.1972812034684539</v>
      </c>
      <c r="F14" s="41">
        <v>1.5195176507737695</v>
      </c>
      <c r="G14" s="41">
        <v>1.7270250594877121</v>
      </c>
      <c r="H14" s="41">
        <v>2.0189158372738576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workbookViewId="0"/>
  </sheetViews>
  <sheetFormatPr defaultRowHeight="16.5" x14ac:dyDescent="0.3"/>
  <cols>
    <col min="1" max="1" width="71.85546875" style="1" bestFit="1" customWidth="1"/>
    <col min="2" max="2" width="10.7109375" style="1" bestFit="1" customWidth="1"/>
    <col min="3" max="32" width="10.42578125" style="1" bestFit="1" customWidth="1"/>
    <col min="33" max="16384" width="9.140625" style="1"/>
  </cols>
  <sheetData>
    <row r="1" spans="1:32" x14ac:dyDescent="0.3">
      <c r="A1" s="1" t="s">
        <v>0</v>
      </c>
      <c r="B1" s="32" t="s">
        <v>27</v>
      </c>
    </row>
    <row r="2" spans="1:32" x14ac:dyDescent="0.3">
      <c r="A2" s="2" t="s">
        <v>1</v>
      </c>
    </row>
    <row r="3" spans="1:32" x14ac:dyDescent="0.3">
      <c r="A3" s="4">
        <v>42828</v>
      </c>
    </row>
    <row r="5" spans="1:32" x14ac:dyDescent="0.3">
      <c r="A5" s="1" t="s">
        <v>56</v>
      </c>
    </row>
    <row r="6" spans="1:32" x14ac:dyDescent="0.3">
      <c r="A6" s="2" t="s">
        <v>57</v>
      </c>
    </row>
    <row r="8" spans="1:32" x14ac:dyDescent="0.3">
      <c r="A8" s="40"/>
      <c r="B8" s="10">
        <v>2020</v>
      </c>
      <c r="C8" s="10">
        <v>2021</v>
      </c>
      <c r="D8" s="10">
        <v>2022</v>
      </c>
      <c r="E8" s="10">
        <v>2023</v>
      </c>
      <c r="F8" s="10">
        <v>2024</v>
      </c>
      <c r="G8" s="10">
        <v>2025</v>
      </c>
      <c r="H8" s="10">
        <v>2026</v>
      </c>
      <c r="I8" s="10">
        <v>2027</v>
      </c>
      <c r="J8" s="10">
        <v>2028</v>
      </c>
      <c r="K8" s="10">
        <v>2029</v>
      </c>
      <c r="L8" s="10">
        <v>2030</v>
      </c>
      <c r="M8" s="10">
        <v>2031</v>
      </c>
      <c r="N8" s="10">
        <v>2032</v>
      </c>
      <c r="O8" s="10">
        <v>2033</v>
      </c>
      <c r="P8" s="10">
        <v>2034</v>
      </c>
      <c r="Q8" s="10">
        <v>2035</v>
      </c>
      <c r="R8" s="10">
        <v>2036</v>
      </c>
      <c r="S8" s="10">
        <v>2037</v>
      </c>
      <c r="T8" s="10">
        <v>2038</v>
      </c>
      <c r="U8" s="10">
        <v>2039</v>
      </c>
      <c r="V8" s="10">
        <v>2040</v>
      </c>
      <c r="W8" s="10">
        <v>2041</v>
      </c>
      <c r="X8" s="10">
        <v>2042</v>
      </c>
      <c r="Y8" s="10">
        <v>2043</v>
      </c>
      <c r="Z8" s="10">
        <v>2044</v>
      </c>
      <c r="AA8" s="10">
        <v>2045</v>
      </c>
      <c r="AB8" s="10">
        <v>2046</v>
      </c>
      <c r="AC8" s="10">
        <v>2047</v>
      </c>
      <c r="AD8" s="10">
        <v>2048</v>
      </c>
      <c r="AE8" s="10">
        <v>2049</v>
      </c>
      <c r="AF8" s="10">
        <v>2050</v>
      </c>
    </row>
    <row r="9" spans="1:32" x14ac:dyDescent="0.3">
      <c r="A9" s="1" t="s">
        <v>19</v>
      </c>
      <c r="B9" s="5">
        <f>novaUNB_financna_projekt!F42</f>
        <v>-33786140.193784088</v>
      </c>
      <c r="C9" s="5">
        <f>novaUNB_financna_projekt!G42</f>
        <v>-31825841.411574095</v>
      </c>
      <c r="D9" s="5">
        <f>novaUNB_financna_projekt!H42</f>
        <v>-29680023.910179824</v>
      </c>
      <c r="E9" s="5">
        <f>novaUNB_financna_projekt!I42</f>
        <v>-28530930.148063391</v>
      </c>
      <c r="F9" s="5">
        <f>novaUNB_financna_projekt!J42</f>
        <v>-28099739.879105717</v>
      </c>
      <c r="G9" s="5">
        <f>novaUNB_financna_projekt!K42</f>
        <v>-17998655.554650098</v>
      </c>
      <c r="H9" s="5">
        <f>novaUNB_financna_projekt!L42</f>
        <v>-18589463.433501273</v>
      </c>
      <c r="I9" s="5">
        <f>novaUNB_financna_projekt!M42</f>
        <v>-19224426.168431342</v>
      </c>
      <c r="J9" s="5">
        <f>novaUNB_financna_projekt!N42</f>
        <v>-19900731.492322057</v>
      </c>
      <c r="K9" s="5">
        <f>novaUNB_financna_projekt!O42</f>
        <v>-20615714.54189688</v>
      </c>
      <c r="L9" s="5">
        <f>novaUNB_financna_projekt!P42</f>
        <v>-18067729.75759536</v>
      </c>
      <c r="M9" s="5">
        <f>novaUNB_financna_projekt!Q42</f>
        <v>-18756947.746785015</v>
      </c>
      <c r="N9" s="5">
        <f>novaUNB_financna_projekt!R42</f>
        <v>-19477564.41963917</v>
      </c>
      <c r="O9" s="5">
        <f>novaUNB_financna_projekt!S42</f>
        <v>-20230445.213084936</v>
      </c>
      <c r="P9" s="5">
        <f>novaUNB_financna_projekt!T42</f>
        <v>-21016471.003445446</v>
      </c>
      <c r="Q9" s="5">
        <f>novaUNB_financna_projekt!U42</f>
        <v>-19508893.102487028</v>
      </c>
      <c r="R9" s="5">
        <f>novaUNB_financna_projekt!V42</f>
        <v>-20417225.415484309</v>
      </c>
      <c r="S9" s="5">
        <f>novaUNB_financna_projekt!W42</f>
        <v>-21337133.248811543</v>
      </c>
      <c r="T9" s="5">
        <f>novaUNB_financna_projekt!X42</f>
        <v>-22268487.102908611</v>
      </c>
      <c r="U9" s="5">
        <f>novaUNB_financna_projekt!Y42</f>
        <v>-23211124.991630495</v>
      </c>
      <c r="V9" s="5">
        <f>novaUNB_financna_projekt!Z42</f>
        <v>-22627700.996855021</v>
      </c>
      <c r="W9" s="5">
        <f>novaUNB_financna_projekt!AA42</f>
        <v>-23545181.245726258</v>
      </c>
      <c r="X9" s="5">
        <f>novaUNB_financna_projekt!AB42</f>
        <v>-24500371.443999499</v>
      </c>
      <c r="Y9" s="5">
        <f>novaUNB_financna_projekt!AC42</f>
        <v>-25494263.103817225</v>
      </c>
      <c r="Z9" s="5">
        <f>novaUNB_financna_projekt!AD42</f>
        <v>-26527866.885150313</v>
      </c>
      <c r="AA9" s="5">
        <f>novaUNB_financna_projekt!AE42</f>
        <v>-24507349.050902247</v>
      </c>
      <c r="AB9" s="5">
        <f>novaUNB_financna_projekt!AF42</f>
        <v>-25530353.949608564</v>
      </c>
      <c r="AC9" s="5">
        <f>novaUNB_financna_projekt!AG42</f>
        <v>-26586121.412729621</v>
      </c>
      <c r="AD9" s="5">
        <f>novaUNB_financna_projekt!AH42</f>
        <v>-27675362.323474556</v>
      </c>
      <c r="AE9" s="5">
        <f>novaUNB_financna_projekt!AI42</f>
        <v>-28798800.215040386</v>
      </c>
      <c r="AF9" s="5">
        <f>novaUNB_financna_projekt!AJ42</f>
        <v>-24419912.134732306</v>
      </c>
    </row>
    <row r="10" spans="1:32" x14ac:dyDescent="0.3">
      <c r="A10" s="1" t="s">
        <v>20</v>
      </c>
      <c r="B10" s="5">
        <f>novaUNB_financna_projekt!F43</f>
        <v>-22376407.605745703</v>
      </c>
      <c r="C10" s="5">
        <f>novaUNB_financna_projekt!G43</f>
        <v>-20238515.829398453</v>
      </c>
      <c r="D10" s="5">
        <f>novaUNB_financna_projekt!H43</f>
        <v>-17919908.984657586</v>
      </c>
      <c r="E10" s="5">
        <f>novaUNB_financna_projekt!I43</f>
        <v>-8727938.3637698591</v>
      </c>
      <c r="F10" s="5">
        <f>novaUNB_financna_projekt!J43</f>
        <v>-8065082.9464168847</v>
      </c>
      <c r="G10" s="5">
        <f>novaUNB_financna_projekt!K43</f>
        <v>2269365.6131267548</v>
      </c>
      <c r="H10" s="5">
        <f>novaUNB_financna_projekt!L43</f>
        <v>1901049.3732599616</v>
      </c>
      <c r="I10" s="5">
        <f>novaUNB_financna_projekt!M43</f>
        <v>1487081.5373781621</v>
      </c>
      <c r="J10" s="5">
        <f>novaUNB_financna_projekt!N43</f>
        <v>1030917.8372152448</v>
      </c>
      <c r="K10" s="5">
        <f>novaUNB_financna_projekt!O43</f>
        <v>535827.15897655487</v>
      </c>
      <c r="L10" s="5">
        <f>novaUNB_financna_projekt!P43</f>
        <v>3304032.4559833705</v>
      </c>
      <c r="M10" s="5">
        <f>novaUNB_financna_projekt!Q43</f>
        <v>2826829.7739816606</v>
      </c>
      <c r="N10" s="5">
        <f>novaUNB_financna_projekt!R43</f>
        <v>2318891.8282227218</v>
      </c>
      <c r="O10" s="5">
        <f>novaUNB_financna_projekt!S43</f>
        <v>1779351.2891504169</v>
      </c>
      <c r="P10" s="5">
        <f>novaUNB_financna_projekt!T43</f>
        <v>1207326.0823253691</v>
      </c>
      <c r="Q10" s="5">
        <f>novaUNB_financna_projekt!U43</f>
        <v>2929564.407735914</v>
      </c>
      <c r="R10" s="5">
        <f>novaUNB_financna_projekt!V43</f>
        <v>2261814.2494223118</v>
      </c>
      <c r="S10" s="5">
        <f>novaUNB_financna_projekt!W43</f>
        <v>1587727.1012310088</v>
      </c>
      <c r="T10" s="5">
        <f>novaUNB_financna_projekt!X43</f>
        <v>907514.70310363173</v>
      </c>
      <c r="U10" s="5">
        <f>novaUNB_financna_projekt!Y43</f>
        <v>221425.3138359189</v>
      </c>
      <c r="V10" s="5">
        <f>novaUNB_financna_projekt!Z43</f>
        <v>1066895.2357155085</v>
      </c>
      <c r="W10" s="5">
        <f>novaUNB_financna_projekt!AA43</f>
        <v>405394.91260418296</v>
      </c>
      <c r="X10" s="5">
        <f>novaUNB_financna_projekt!AB43</f>
        <v>-292438.40908071399</v>
      </c>
      <c r="Y10" s="5">
        <f>novaUNB_financna_projekt!AC43</f>
        <v>-1027588.4464420378</v>
      </c>
      <c r="Z10" s="5">
        <f>novaUNB_financna_projekt!AD43</f>
        <v>-1801057.5823344588</v>
      </c>
      <c r="AA10" s="5">
        <f>novaUNB_financna_projekt!AE43</f>
        <v>480996.68872442842</v>
      </c>
      <c r="AB10" s="5">
        <f>novaUNB_financna_projekt!AF43</f>
        <v>-277933.71416842937</v>
      </c>
      <c r="AC10" s="5">
        <f>novaUNB_financna_projekt!AG43</f>
        <v>-1067058.3578135371</v>
      </c>
      <c r="AD10" s="5">
        <f>novaUNB_financna_projekt!AH43</f>
        <v>-1887057.4815462828</v>
      </c>
      <c r="AE10" s="5">
        <f>novaUNB_financna_projekt!AI43</f>
        <v>-2738623.5904998779</v>
      </c>
      <c r="AF10" s="5">
        <f>novaUNB_financna_projekt!AJ43</f>
        <v>1914797.685320437</v>
      </c>
    </row>
    <row r="11" spans="1:32" x14ac:dyDescent="0.3">
      <c r="A11" s="1" t="s">
        <v>23</v>
      </c>
      <c r="B11" s="5">
        <f>novaUNB_financna_projekt!F46</f>
        <v>-22376407.605745703</v>
      </c>
      <c r="C11" s="5">
        <f>novaUNB_financna_projekt!G46</f>
        <v>-20238515.829398453</v>
      </c>
      <c r="D11" s="5">
        <f>novaUNB_financna_projekt!H46</f>
        <v>-17919908.984657586</v>
      </c>
      <c r="E11" s="5">
        <f>novaUNB_financna_projekt!I46</f>
        <v>14452393.32039547</v>
      </c>
      <c r="F11" s="5">
        <f>novaUNB_financna_projekt!J46</f>
        <v>15024348.313409954</v>
      </c>
      <c r="G11" s="5">
        <f>novaUNB_financna_projekt!K46</f>
        <v>24182738.964414299</v>
      </c>
      <c r="H11" s="5">
        <f>novaUNB_financna_projekt!L46</f>
        <v>23994970.193459779</v>
      </c>
      <c r="I11" s="5">
        <f>novaUNB_financna_projekt!M46</f>
        <v>23759252.32714206</v>
      </c>
      <c r="J11" s="5">
        <f>novaUNB_financna_projekt!N46</f>
        <v>23479382.227244347</v>
      </c>
      <c r="K11" s="5">
        <f>novaUNB_financna_projekt!O46</f>
        <v>23158945.767382592</v>
      </c>
      <c r="L11" s="5">
        <f>novaUNB_financna_projekt!P46</f>
        <v>25543376.899584353</v>
      </c>
      <c r="M11" s="5">
        <f>novaUNB_financna_projekt!Q46</f>
        <v>25210983.477901489</v>
      </c>
      <c r="N11" s="5">
        <f>novaUNB_financna_projekt!R46</f>
        <v>24846647.813926339</v>
      </c>
      <c r="O11" s="5">
        <f>novaUNB_financna_projekt!S46</f>
        <v>24449460.811077297</v>
      </c>
      <c r="P11" s="5">
        <f>novaUNB_financna_projekt!T46</f>
        <v>24018498.1844576</v>
      </c>
      <c r="Q11" s="5">
        <f>novaUNB_financna_projekt!U46</f>
        <v>25918198.035284877</v>
      </c>
      <c r="R11" s="5">
        <f>novaUNB_financna_projekt!V46</f>
        <v>25417516.03243944</v>
      </c>
      <c r="S11" s="5">
        <f>novaUNB_financna_projekt!W46</f>
        <v>24911650.368337214</v>
      </c>
      <c r="T11" s="5">
        <f>novaUNB_financna_projekt!X46</f>
        <v>24400811.856047571</v>
      </c>
      <c r="U11" s="5">
        <f>novaUNB_financna_projekt!Y46</f>
        <v>23885249.171841234</v>
      </c>
      <c r="V11" s="5">
        <f>novaUNB_financna_projekt!Z46</f>
        <v>24854357.531714171</v>
      </c>
      <c r="W11" s="5">
        <f>novaUNB_financna_projekt!AA46</f>
        <v>24352816.834839284</v>
      </c>
      <c r="X11" s="5">
        <f>novaUNB_financna_projekt!AB46</f>
        <v>23813544.696478397</v>
      </c>
      <c r="Y11" s="5">
        <f>novaUNB_financna_projekt!AC46</f>
        <v>23235506.427077621</v>
      </c>
      <c r="Z11" s="5">
        <f>novaUNB_financna_projekt!AD46</f>
        <v>22617647.776643753</v>
      </c>
      <c r="AA11" s="5">
        <f>novaUNB_financna_projekt!AE46</f>
        <v>24312935.46426186</v>
      </c>
      <c r="AB11" s="5">
        <f>novaUNB_financna_projekt!AF46</f>
        <v>23693345.445489049</v>
      </c>
      <c r="AC11" s="5">
        <f>novaUNB_financna_projekt!AG46</f>
        <v>23042379.194189608</v>
      </c>
      <c r="AD11" s="5">
        <f>novaUNB_financna_projekt!AH46</f>
        <v>22359310.683986753</v>
      </c>
      <c r="AE11" s="5">
        <f>novaUNB_financna_projekt!AI46</f>
        <v>21643400.535215914</v>
      </c>
      <c r="AF11" s="5">
        <f>novaUNB_financna_projekt!AJ46</f>
        <v>23712614.225555897</v>
      </c>
    </row>
    <row r="13" spans="1:32" x14ac:dyDescent="0.3">
      <c r="A13" s="1" t="s">
        <v>58</v>
      </c>
      <c r="E13" s="5">
        <f>novaUNB_financna_nUNB!I38</f>
        <v>21401908.765544057</v>
      </c>
      <c r="F13" s="5">
        <f>novaUNB_financna_nUNB!J38</f>
        <v>21340324.514640704</v>
      </c>
      <c r="G13" s="5">
        <f>novaUNB_financna_nUNB!K38</f>
        <v>25333919.833569512</v>
      </c>
      <c r="H13" s="5">
        <f>novaUNB_financna_nUNB!L38</f>
        <v>25397832.735230476</v>
      </c>
      <c r="I13" s="5">
        <f>novaUNB_financna_nUNB!M38</f>
        <v>25435409.939610258</v>
      </c>
      <c r="J13" s="5">
        <f>novaUNB_financna_nUNB!N38</f>
        <v>25449164.463638812</v>
      </c>
      <c r="K13" s="5">
        <f>novaUNB_financna_nUNB!O38</f>
        <v>25441473.832693338</v>
      </c>
      <c r="L13" s="5">
        <f>novaUNB_financna_nUNB!P38</f>
        <v>27572912.438380793</v>
      </c>
      <c r="M13" s="5">
        <f>novaUNB_financna_nUNB!Q38</f>
        <v>27558739.135185421</v>
      </c>
      <c r="N13" s="5">
        <f>novaUNB_financna_nUNB!R38</f>
        <v>27528518.223666638</v>
      </c>
      <c r="O13" s="5">
        <f>novaUNB_financna_nUNB!S38</f>
        <v>27481759.714765564</v>
      </c>
      <c r="P13" s="5">
        <f>novaUNB_financna_nUNB!T38</f>
        <v>27417965.654713184</v>
      </c>
      <c r="Q13" s="5">
        <f>novaUNB_financna_nUNB!U38</f>
        <v>28551931.204702094</v>
      </c>
      <c r="R13" s="5">
        <f>novaUNB_financna_nUNB!V38</f>
        <v>28486827.214252964</v>
      </c>
      <c r="S13" s="5">
        <f>novaUNB_financna_nUNB!W38</f>
        <v>28424436.547292128</v>
      </c>
      <c r="T13" s="5">
        <f>novaUNB_financna_nUNB!X38</f>
        <v>28365003.181671485</v>
      </c>
      <c r="U13" s="5">
        <f>novaUNB_financna_nUNB!Y38</f>
        <v>28308796.839931563</v>
      </c>
      <c r="V13" s="5">
        <f>novaUNB_financna_nUNB!Z38</f>
        <v>28963683.161583036</v>
      </c>
      <c r="W13" s="5">
        <f>novaUNB_financna_nUNB!AA38</f>
        <v>28914430.772994667</v>
      </c>
      <c r="X13" s="5">
        <f>novaUNB_financna_nUNB!AB38</f>
        <v>28847326.96822235</v>
      </c>
      <c r="Y13" s="5">
        <f>novaUNB_financna_nUNB!AC38</f>
        <v>28761839.224267334</v>
      </c>
      <c r="Z13" s="5">
        <f>novaUNB_financna_nUNB!AD38</f>
        <v>28657424.924718738</v>
      </c>
      <c r="AA13" s="5">
        <f>novaUNB_financna_nUNB!AE38</f>
        <v>29485237.229021549</v>
      </c>
      <c r="AB13" s="5">
        <f>novaUNB_financna_nUNB!AF38</f>
        <v>29389857.931522429</v>
      </c>
      <c r="AC13" s="5">
        <f>novaUNB_financna_nUNB!AG38</f>
        <v>29281317.925690264</v>
      </c>
      <c r="AD13" s="5">
        <f>novaUNB_financna_nUNB!AH38</f>
        <v>29159289.139138222</v>
      </c>
      <c r="AE13" s="5">
        <f>novaUNB_financna_nUNB!AI38</f>
        <v>29023437.387151808</v>
      </c>
      <c r="AF13" s="5">
        <f>novaUNB_financna_nUNB!AJ38</f>
        <v>29990336.627760082</v>
      </c>
    </row>
    <row r="14" spans="1:32" x14ac:dyDescent="0.3">
      <c r="A14" s="8" t="s">
        <v>59</v>
      </c>
      <c r="B14" s="8"/>
      <c r="C14" s="8"/>
      <c r="D14" s="8"/>
      <c r="E14" s="9">
        <f>E11-E13</f>
        <v>-6949515.4451485872</v>
      </c>
      <c r="F14" s="9">
        <f t="shared" ref="F14:AF14" si="0">F11-F13</f>
        <v>-6315976.2012307495</v>
      </c>
      <c r="G14" s="9">
        <f t="shared" si="0"/>
        <v>-1151180.8691552132</v>
      </c>
      <c r="H14" s="9">
        <f t="shared" si="0"/>
        <v>-1402862.5417706966</v>
      </c>
      <c r="I14" s="9">
        <f t="shared" si="0"/>
        <v>-1676157.6124681979</v>
      </c>
      <c r="J14" s="9">
        <f t="shared" si="0"/>
        <v>-1969782.236394465</v>
      </c>
      <c r="K14" s="9">
        <f t="shared" si="0"/>
        <v>-2282528.0653107464</v>
      </c>
      <c r="L14" s="9">
        <f t="shared" si="0"/>
        <v>-2029535.5387964398</v>
      </c>
      <c r="M14" s="9">
        <f t="shared" si="0"/>
        <v>-2347755.657283932</v>
      </c>
      <c r="N14" s="9">
        <f t="shared" si="0"/>
        <v>-2681870.409740299</v>
      </c>
      <c r="O14" s="9">
        <f t="shared" si="0"/>
        <v>-3032298.9036882669</v>
      </c>
      <c r="P14" s="9">
        <f t="shared" si="0"/>
        <v>-3399467.4702555835</v>
      </c>
      <c r="Q14" s="9">
        <f t="shared" si="0"/>
        <v>-2633733.1694172174</v>
      </c>
      <c r="R14" s="9">
        <f t="shared" si="0"/>
        <v>-3069311.1818135232</v>
      </c>
      <c r="S14" s="9">
        <f t="shared" si="0"/>
        <v>-3512786.1789549142</v>
      </c>
      <c r="T14" s="9">
        <f t="shared" si="0"/>
        <v>-3964191.3256239146</v>
      </c>
      <c r="U14" s="9">
        <f t="shared" si="0"/>
        <v>-4423547.6680903286</v>
      </c>
      <c r="V14" s="9">
        <f t="shared" si="0"/>
        <v>-4109325.629868865</v>
      </c>
      <c r="W14" s="9">
        <f t="shared" si="0"/>
        <v>-4561613.9381553829</v>
      </c>
      <c r="X14" s="9">
        <f t="shared" si="0"/>
        <v>-5033782.2717439532</v>
      </c>
      <c r="Y14" s="9">
        <f t="shared" si="0"/>
        <v>-5526332.7971897125</v>
      </c>
      <c r="Z14" s="9">
        <f t="shared" si="0"/>
        <v>-6039777.1480749846</v>
      </c>
      <c r="AA14" s="9">
        <f t="shared" si="0"/>
        <v>-5172301.7647596896</v>
      </c>
      <c r="AB14" s="9">
        <f t="shared" si="0"/>
        <v>-5696512.48603338</v>
      </c>
      <c r="AC14" s="9">
        <f t="shared" si="0"/>
        <v>-6238938.7315006554</v>
      </c>
      <c r="AD14" s="9">
        <f t="shared" si="0"/>
        <v>-6799978.4551514685</v>
      </c>
      <c r="AE14" s="9">
        <f t="shared" si="0"/>
        <v>-7380036.8519358933</v>
      </c>
      <c r="AF14" s="9">
        <f t="shared" si="0"/>
        <v>-6277722.4022041857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workbookViewId="0"/>
  </sheetViews>
  <sheetFormatPr defaultRowHeight="16.5" x14ac:dyDescent="0.3"/>
  <cols>
    <col min="1" max="1" width="28.28515625" style="1" customWidth="1"/>
    <col min="2" max="2" width="14.7109375" style="1" bestFit="1" customWidth="1"/>
    <col min="3" max="3" width="14.42578125" style="1" bestFit="1" customWidth="1"/>
    <col min="4" max="17" width="15.42578125" style="1" bestFit="1" customWidth="1"/>
    <col min="18" max="18" width="14.42578125" style="1" bestFit="1" customWidth="1"/>
    <col min="19" max="33" width="14.85546875" style="1" bestFit="1" customWidth="1"/>
    <col min="34" max="16384" width="9.140625" style="1"/>
  </cols>
  <sheetData>
    <row r="1" spans="1:33" x14ac:dyDescent="0.3">
      <c r="A1" s="1" t="s">
        <v>0</v>
      </c>
      <c r="B1" s="32" t="s">
        <v>27</v>
      </c>
    </row>
    <row r="2" spans="1:33" x14ac:dyDescent="0.3">
      <c r="A2" s="2" t="s">
        <v>1</v>
      </c>
    </row>
    <row r="3" spans="1:33" x14ac:dyDescent="0.3">
      <c r="A3" s="4">
        <v>42828</v>
      </c>
    </row>
    <row r="5" spans="1:33" x14ac:dyDescent="0.3">
      <c r="A5" s="1" t="s">
        <v>60</v>
      </c>
    </row>
    <row r="6" spans="1:33" x14ac:dyDescent="0.3">
      <c r="A6" s="2" t="s">
        <v>61</v>
      </c>
    </row>
    <row r="8" spans="1:33" x14ac:dyDescent="0.3">
      <c r="A8" s="40"/>
      <c r="B8" s="40"/>
      <c r="C8" s="10">
        <v>2020</v>
      </c>
      <c r="D8" s="10">
        <v>2021</v>
      </c>
      <c r="E8" s="10">
        <v>2022</v>
      </c>
      <c r="F8" s="10">
        <v>2023</v>
      </c>
      <c r="G8" s="10">
        <v>2024</v>
      </c>
      <c r="H8" s="10">
        <v>2025</v>
      </c>
      <c r="I8" s="10">
        <v>2026</v>
      </c>
      <c r="J8" s="10">
        <v>2027</v>
      </c>
      <c r="K8" s="10">
        <v>2028</v>
      </c>
      <c r="L8" s="10">
        <v>2029</v>
      </c>
      <c r="M8" s="10">
        <v>2030</v>
      </c>
      <c r="N8" s="10">
        <v>2031</v>
      </c>
      <c r="O8" s="10">
        <v>2032</v>
      </c>
      <c r="P8" s="10">
        <v>2033</v>
      </c>
      <c r="Q8" s="10">
        <v>2034</v>
      </c>
      <c r="R8" s="10">
        <v>2035</v>
      </c>
      <c r="S8" s="10">
        <v>2036</v>
      </c>
      <c r="T8" s="10">
        <v>2037</v>
      </c>
      <c r="U8" s="10">
        <v>2038</v>
      </c>
      <c r="V8" s="10">
        <v>2039</v>
      </c>
      <c r="W8" s="10">
        <v>2040</v>
      </c>
      <c r="X8" s="10">
        <v>2041</v>
      </c>
      <c r="Y8" s="10">
        <v>2042</v>
      </c>
      <c r="Z8" s="10">
        <v>2043</v>
      </c>
      <c r="AA8" s="10">
        <v>2044</v>
      </c>
      <c r="AB8" s="10">
        <v>2045</v>
      </c>
      <c r="AC8" s="10">
        <v>2046</v>
      </c>
      <c r="AD8" s="10">
        <v>2047</v>
      </c>
      <c r="AE8" s="10">
        <v>2048</v>
      </c>
      <c r="AF8" s="10">
        <v>2049</v>
      </c>
      <c r="AG8" s="10">
        <v>2050</v>
      </c>
    </row>
    <row r="9" spans="1:33" x14ac:dyDescent="0.3">
      <c r="A9" s="2" t="s">
        <v>62</v>
      </c>
      <c r="B9" s="3" t="s">
        <v>63</v>
      </c>
      <c r="C9" s="5">
        <f>novaUNB_financna_projekt!F53</f>
        <v>-76126407.605745703</v>
      </c>
      <c r="D9" s="5">
        <f>novaUNB_financna_projekt!G53</f>
        <v>-214401015.82939845</v>
      </c>
      <c r="E9" s="5">
        <f>novaUNB_financna_projekt!H53</f>
        <v>-93796992.317990929</v>
      </c>
      <c r="F9" s="5">
        <f>novaUNB_financna_projekt!I53</f>
        <v>11952393.32039547</v>
      </c>
      <c r="G9" s="5">
        <f>novaUNB_financna_projekt!J53</f>
        <v>12524348.313409954</v>
      </c>
      <c r="H9" s="5">
        <f>novaUNB_financna_projekt!K53</f>
        <v>21682738.964414299</v>
      </c>
      <c r="I9" s="5">
        <f>novaUNB_financna_projekt!L53</f>
        <v>21494970.193459779</v>
      </c>
      <c r="J9" s="5">
        <f>novaUNB_financna_projekt!M53</f>
        <v>21259252.32714206</v>
      </c>
      <c r="K9" s="5">
        <f>novaUNB_financna_projekt!N53</f>
        <v>15810569.997807117</v>
      </c>
      <c r="L9" s="5">
        <f>novaUNB_financna_projekt!O53</f>
        <v>15490133.537945362</v>
      </c>
      <c r="M9" s="5">
        <f>novaUNB_financna_projekt!P53</f>
        <v>17874564.670147121</v>
      </c>
      <c r="N9" s="5">
        <f>novaUNB_financna_projekt!Q53</f>
        <v>17542171.248464257</v>
      </c>
      <c r="O9" s="5">
        <f>novaUNB_financna_projekt!R53</f>
        <v>17177835.584489107</v>
      </c>
      <c r="P9" s="5">
        <f>novaUNB_financna_projekt!S53</f>
        <v>16780648.581640065</v>
      </c>
      <c r="Q9" s="5">
        <f>novaUNB_financna_projekt!T53</f>
        <v>16349685.95502037</v>
      </c>
      <c r="R9" s="5">
        <f>novaUNB_financna_projekt!U53</f>
        <v>18249385.805847645</v>
      </c>
      <c r="S9" s="5">
        <f>novaUNB_financna_projekt!V53</f>
        <v>17748703.803002208</v>
      </c>
      <c r="T9" s="5">
        <f>novaUNB_financna_projekt!W53</f>
        <v>17242838.138899982</v>
      </c>
      <c r="U9" s="5">
        <f>novaUNB_financna_projekt!X53</f>
        <v>16731999.626610341</v>
      </c>
      <c r="V9" s="5">
        <f>novaUNB_financna_projekt!Y53</f>
        <v>16216436.942404004</v>
      </c>
      <c r="W9" s="5">
        <f>novaUNB_financna_projekt!Z53</f>
        <v>17185545.302276939</v>
      </c>
      <c r="X9" s="5">
        <f>novaUNB_financna_projekt!AA53</f>
        <v>16684004.605402054</v>
      </c>
      <c r="Y9" s="5">
        <f>novaUNB_financna_projekt!AB53</f>
        <v>16144732.467041166</v>
      </c>
      <c r="Z9" s="5">
        <f>novaUNB_financna_projekt!AC53</f>
        <v>15566694.197640391</v>
      </c>
      <c r="AA9" s="5">
        <f>novaUNB_financna_projekt!AD53</f>
        <v>14948835.547206523</v>
      </c>
      <c r="AB9" s="5">
        <f>novaUNB_financna_projekt!AE53</f>
        <v>16644123.23482463</v>
      </c>
      <c r="AC9" s="5">
        <f>novaUNB_financna_projekt!AF53</f>
        <v>16024533.216051819</v>
      </c>
      <c r="AD9" s="5">
        <f>novaUNB_financna_projekt!AG53</f>
        <v>15373566.964752378</v>
      </c>
      <c r="AE9" s="5">
        <f>novaUNB_financna_projekt!AH53</f>
        <v>14690498.454549523</v>
      </c>
      <c r="AF9" s="5">
        <f>novaUNB_financna_projekt!AI53</f>
        <v>13974588.305778684</v>
      </c>
      <c r="AG9" s="5">
        <f>novaUNB_financna_projekt!AJ53</f>
        <v>16043801.996118667</v>
      </c>
    </row>
    <row r="10" spans="1:33" x14ac:dyDescent="0.3">
      <c r="A10" s="2"/>
      <c r="B10" s="3" t="s">
        <v>64</v>
      </c>
      <c r="C10" s="5">
        <f>novaUNB_financna_projekt!F46</f>
        <v>-22376407.605745703</v>
      </c>
      <c r="D10" s="5">
        <f>novaUNB_financna_projekt!G46</f>
        <v>-20238515.829398453</v>
      </c>
      <c r="E10" s="5">
        <f>novaUNB_financna_projekt!H46</f>
        <v>-17919908.984657586</v>
      </c>
      <c r="F10" s="5">
        <f>novaUNB_financna_projekt!I46</f>
        <v>14452393.32039547</v>
      </c>
      <c r="G10" s="5">
        <f>novaUNB_financna_projekt!J46</f>
        <v>15024348.313409954</v>
      </c>
      <c r="H10" s="5">
        <f>novaUNB_financna_projekt!K46</f>
        <v>24182738.964414299</v>
      </c>
      <c r="I10" s="5">
        <f>novaUNB_financna_projekt!L46</f>
        <v>23994970.193459779</v>
      </c>
      <c r="J10" s="5">
        <f>novaUNB_financna_projekt!M46</f>
        <v>23759252.32714206</v>
      </c>
      <c r="K10" s="5">
        <f>novaUNB_financna_projekt!N46</f>
        <v>23479382.227244347</v>
      </c>
      <c r="L10" s="5">
        <f>novaUNB_financna_projekt!O46</f>
        <v>23158945.767382592</v>
      </c>
      <c r="M10" s="5">
        <f>novaUNB_financna_projekt!P46</f>
        <v>25543376.899584353</v>
      </c>
      <c r="N10" s="5">
        <f>novaUNB_financna_projekt!Q46</f>
        <v>25210983.477901489</v>
      </c>
      <c r="O10" s="5">
        <f>novaUNB_financna_projekt!R46</f>
        <v>24846647.813926339</v>
      </c>
      <c r="P10" s="5">
        <f>novaUNB_financna_projekt!S46</f>
        <v>24449460.811077297</v>
      </c>
      <c r="Q10" s="5">
        <f>novaUNB_financna_projekt!T46</f>
        <v>24018498.1844576</v>
      </c>
      <c r="R10" s="5">
        <f>novaUNB_financna_projekt!U46</f>
        <v>25918198.035284877</v>
      </c>
      <c r="S10" s="5">
        <f>novaUNB_financna_projekt!V46</f>
        <v>25417516.03243944</v>
      </c>
      <c r="T10" s="5">
        <f>novaUNB_financna_projekt!W46</f>
        <v>24911650.368337214</v>
      </c>
      <c r="U10" s="5">
        <f>novaUNB_financna_projekt!X46</f>
        <v>24400811.856047571</v>
      </c>
      <c r="V10" s="5">
        <f>novaUNB_financna_projekt!Y46</f>
        <v>23885249.171841234</v>
      </c>
      <c r="W10" s="5">
        <f>novaUNB_financna_projekt!Z46</f>
        <v>24854357.531714171</v>
      </c>
      <c r="X10" s="5">
        <f>novaUNB_financna_projekt!AA46</f>
        <v>24352816.834839284</v>
      </c>
      <c r="Y10" s="5">
        <f>novaUNB_financna_projekt!AB46</f>
        <v>23813544.696478397</v>
      </c>
      <c r="Z10" s="5">
        <f>novaUNB_financna_projekt!AC46</f>
        <v>23235506.427077621</v>
      </c>
      <c r="AA10" s="5">
        <f>novaUNB_financna_projekt!AD46</f>
        <v>22617647.776643753</v>
      </c>
      <c r="AB10" s="5">
        <f>novaUNB_financna_projekt!AE46</f>
        <v>24312935.46426186</v>
      </c>
      <c r="AC10" s="5">
        <f>novaUNB_financna_projekt!AF46</f>
        <v>23693345.445489049</v>
      </c>
      <c r="AD10" s="5">
        <f>novaUNB_financna_projekt!AG46</f>
        <v>23042379.194189608</v>
      </c>
      <c r="AE10" s="5">
        <f>novaUNB_financna_projekt!AH46</f>
        <v>22359310.683986753</v>
      </c>
      <c r="AF10" s="5">
        <f>novaUNB_financna_projekt!AI46</f>
        <v>21643400.535215914</v>
      </c>
      <c r="AG10" s="5">
        <f>novaUNB_financna_projekt!AJ46</f>
        <v>23712614.225555897</v>
      </c>
    </row>
    <row r="11" spans="1:33" x14ac:dyDescent="0.3">
      <c r="A11" s="2"/>
      <c r="B11" s="3" t="s">
        <v>65</v>
      </c>
      <c r="C11" s="43">
        <f>NPV(0.04,novaUNB_financna_projekt!$D$59:'novaUNB_financna_projekt'!F$59)</f>
        <v>-37640343.554386675</v>
      </c>
      <c r="D11" s="43">
        <f>NPV(0.04,novaUNB_financna_projekt!$D$59:'novaUNB_financna_projekt'!G$59)</f>
        <v>-193706367.82472607</v>
      </c>
      <c r="E11" s="43">
        <f>NPV(0.04,novaUNB_financna_projekt!$D$59:'novaUNB_financna_projekt'!H$59)</f>
        <v>-246405842.162339</v>
      </c>
      <c r="F11" s="43">
        <f>NPV(0.04,novaUNB_financna_projekt!$D$59:'novaUNB_financna_projekt'!I$59)</f>
        <v>-214411283.57538384</v>
      </c>
      <c r="G11" s="43">
        <f>NPV(0.04,novaUNB_financna_projekt!$D$59:'novaUNB_financna_projekt'!J$59)</f>
        <v>-183540315.31279957</v>
      </c>
      <c r="H11" s="43">
        <f>NPV(0.04,novaUNB_financna_projekt!$D$59:'novaUNB_financna_projekt'!K$59)</f>
        <v>-154545509.01689982</v>
      </c>
      <c r="I11" s="43">
        <f>NPV(0.04,novaUNB_financna_projekt!$D$59:'novaUNB_financna_projekt'!L$59)</f>
        <v>-126382717.64740694</v>
      </c>
      <c r="J11" s="43">
        <f>NPV(0.04,novaUNB_financna_projekt!$D$59:'novaUNB_financna_projekt'!M$59)</f>
        <v>-99033395.033534035</v>
      </c>
      <c r="K11" s="43">
        <f>NPV(0.04,novaUNB_financna_projekt!$D$59:'novaUNB_financna_projekt'!N$59)</f>
        <v>-75836014.544239223</v>
      </c>
      <c r="L11" s="43">
        <f>NPV(0.04,novaUNB_financna_projekt!$D$59:'novaUNB_financna_projekt'!O$59)</f>
        <v>-53284408.3609837</v>
      </c>
      <c r="M11" s="43">
        <f>NPV(0.04,novaUNB_financna_projekt!$D$59:'novaUNB_financna_projekt'!P$59)</f>
        <v>-31698397.731458731</v>
      </c>
      <c r="N11" s="43">
        <f>NPV(0.04,novaUNB_financna_projekt!$D$59:'novaUNB_financna_projekt'!Q$59)</f>
        <v>-10736560.983318577</v>
      </c>
      <c r="O11" s="43">
        <f>NPV(0.04,novaUNB_financna_projekt!$D$59:'novaUNB_financna_projekt'!R$59)</f>
        <v>9616881.4717298802</v>
      </c>
      <c r="P11" s="43">
        <f>NPV(0.04,novaUNB_financna_projekt!$D$59:'novaUNB_financna_projekt'!S$59)</f>
        <v>29377407.039809063</v>
      </c>
      <c r="Q11" s="43">
        <f>NPV(0.04,novaUNB_financna_projekt!$D$59:'novaUNB_financna_projekt'!T$59)</f>
        <v>48560192.322583362</v>
      </c>
      <c r="R11" s="43">
        <f>NPV(0.04,novaUNB_financna_projekt!$D$59:'novaUNB_financna_projekt'!U$59)</f>
        <v>67198740.592725873</v>
      </c>
      <c r="S11" s="43">
        <f>NPV(0.04,novaUNB_financna_projekt!$D$59:'novaUNB_financna_projekt'!V$59)</f>
        <v>85313909.753083989</v>
      </c>
      <c r="T11" s="43">
        <f>NPV(0.04,novaUNB_financna_projekt!$D$59:'novaUNB_financna_projekt'!W$59)</f>
        <v>102921305.07925488</v>
      </c>
      <c r="U11" s="43">
        <f>NPV(0.04,novaUNB_financna_projekt!$D$59:'novaUNB_financna_projekt'!X$59)</f>
        <v>120036029.15507139</v>
      </c>
      <c r="V11" s="43">
        <f>NPV(0.04,novaUNB_financna_projekt!$D$59:'novaUNB_financna_projekt'!Y$59)</f>
        <v>136672701.29563752</v>
      </c>
      <c r="W11" s="43">
        <f>NPV(0.04,novaUNB_financna_projekt!$D$59:'novaUNB_financna_projekt'!Z$59)</f>
        <v>152825983.73406628</v>
      </c>
      <c r="X11" s="43">
        <f>NPV(0.04,novaUNB_financna_projekt!$D$59:'novaUNB_financna_projekt'!AA$59)</f>
        <v>168520253.02997214</v>
      </c>
      <c r="Y11" s="43">
        <f>NPV(0.04,novaUNB_financna_projekt!$D$59:'novaUNB_financna_projekt'!AB$59)</f>
        <v>183766914.43636179</v>
      </c>
      <c r="Z11" s="43">
        <f>NPV(0.04,novaUNB_financna_projekt!$D$59:'novaUNB_financna_projekt'!AC$59)</f>
        <v>198577159.62906307</v>
      </c>
      <c r="AA11" s="43">
        <f>NPV(0.04,novaUNB_financna_projekt!$D$59:'novaUNB_financna_projekt'!AD$59)</f>
        <v>212961967.3070077</v>
      </c>
      <c r="AB11" s="43">
        <f>NPV(0.04,novaUNB_financna_projekt!$D$59:'novaUNB_financna_projekt'!AE$59)</f>
        <v>226685056.22430304</v>
      </c>
      <c r="AC11" s="43">
        <f>NPV(0.04,novaUNB_financna_projekt!$D$59:'novaUNB_financna_projekt'!AF$59)</f>
        <v>240009689.58135331</v>
      </c>
      <c r="AD11" s="43">
        <f>NPV(0.04,novaUNB_financna_projekt!$D$59:'novaUNB_financna_projekt'!AG$59)</f>
        <v>252946644.81047836</v>
      </c>
      <c r="AE11" s="43">
        <f>NPV(0.04,novaUNB_financna_projekt!$D$59:'novaUNB_financna_projekt'!AH$59)</f>
        <v>265506438.81300503</v>
      </c>
      <c r="AF11" s="43">
        <f>NPV(0.04,novaUNB_financna_projekt!$D$59:'novaUNB_financna_projekt'!AI$59)</f>
        <v>277699332.8343147</v>
      </c>
      <c r="AG11" s="43">
        <f>NPV(0.04,novaUNB_financna_projekt!$D$59:'novaUNB_financna_projekt'!AJ$59)</f>
        <v>288790201.10112852</v>
      </c>
    </row>
    <row r="12" spans="1:33" x14ac:dyDescent="0.3">
      <c r="A12" s="2" t="s">
        <v>66</v>
      </c>
      <c r="B12" s="3" t="s">
        <v>63</v>
      </c>
      <c r="C12" s="5">
        <f>novaUNB_financna_nUNB!F43</f>
        <v>-53750000</v>
      </c>
      <c r="D12" s="5">
        <f>novaUNB_financna_nUNB!G43</f>
        <v>-188125000</v>
      </c>
      <c r="E12" s="5">
        <f>novaUNB_financna_nUNB!H43</f>
        <v>-65395833.333333343</v>
      </c>
      <c r="F12" s="5">
        <f>novaUNB_financna_nUNB!I43</f>
        <v>18901908.765544057</v>
      </c>
      <c r="G12" s="5">
        <f>novaUNB_financna_nUNB!J43</f>
        <v>18840324.514640704</v>
      </c>
      <c r="H12" s="5">
        <f>novaUNB_financna_nUNB!K43</f>
        <v>22833919.833569512</v>
      </c>
      <c r="I12" s="5">
        <f>novaUNB_financna_nUNB!L43</f>
        <v>22897832.735230476</v>
      </c>
      <c r="J12" s="5">
        <f>novaUNB_financna_nUNB!M43</f>
        <v>22935409.939610258</v>
      </c>
      <c r="K12" s="5">
        <f>novaUNB_financna_nUNB!N43</f>
        <v>18186399.31212366</v>
      </c>
      <c r="L12" s="5">
        <f>novaUNB_financna_nUNB!O43</f>
        <v>18178708.681178186</v>
      </c>
      <c r="M12" s="5">
        <f>novaUNB_financna_nUNB!P43</f>
        <v>20310147.28686564</v>
      </c>
      <c r="N12" s="5">
        <f>novaUNB_financna_nUNB!Q43</f>
        <v>20295973.983670268</v>
      </c>
      <c r="O12" s="5">
        <f>novaUNB_financna_nUNB!R43</f>
        <v>20265753.072151486</v>
      </c>
      <c r="P12" s="5">
        <f>novaUNB_financna_nUNB!S43</f>
        <v>20218994.563250411</v>
      </c>
      <c r="Q12" s="5">
        <f>novaUNB_financna_nUNB!T43</f>
        <v>20155200.503198031</v>
      </c>
      <c r="R12" s="5">
        <f>novaUNB_financna_nUNB!U43</f>
        <v>21289166.053186942</v>
      </c>
      <c r="S12" s="5">
        <f>novaUNB_financna_nUNB!V43</f>
        <v>21224062.062737811</v>
      </c>
      <c r="T12" s="5">
        <f>novaUNB_financna_nUNB!W43</f>
        <v>21161671.395776976</v>
      </c>
      <c r="U12" s="5">
        <f>novaUNB_financna_nUNB!X43</f>
        <v>21102238.030156333</v>
      </c>
      <c r="V12" s="5">
        <f>novaUNB_financna_nUNB!Y43</f>
        <v>21046031.68841641</v>
      </c>
      <c r="W12" s="5">
        <f>novaUNB_financna_nUNB!Z43</f>
        <v>21700918.010067884</v>
      </c>
      <c r="X12" s="5">
        <f>novaUNB_financna_nUNB!AA43</f>
        <v>21651665.621479515</v>
      </c>
      <c r="Y12" s="5">
        <f>novaUNB_financna_nUNB!AB43</f>
        <v>21584561.816707198</v>
      </c>
      <c r="Z12" s="5">
        <f>novaUNB_financna_nUNB!AC43</f>
        <v>21499074.072752181</v>
      </c>
      <c r="AA12" s="5">
        <f>novaUNB_financna_nUNB!AD43</f>
        <v>21394659.773203585</v>
      </c>
      <c r="AB12" s="5">
        <f>novaUNB_financna_nUNB!AE43</f>
        <v>22222472.077506397</v>
      </c>
      <c r="AC12" s="5">
        <f>novaUNB_financna_nUNB!AF43</f>
        <v>22127092.780007277</v>
      </c>
      <c r="AD12" s="5">
        <f>novaUNB_financna_nUNB!AG43</f>
        <v>22018552.774175111</v>
      </c>
      <c r="AE12" s="5">
        <f>novaUNB_financna_nUNB!AH43</f>
        <v>21896523.987623069</v>
      </c>
      <c r="AF12" s="5">
        <f>novaUNB_financna_nUNB!AI43</f>
        <v>21760672.235636655</v>
      </c>
      <c r="AG12" s="5">
        <f>novaUNB_financna_nUNB!AJ43</f>
        <v>22727571.47624493</v>
      </c>
    </row>
    <row r="13" spans="1:33" x14ac:dyDescent="0.3">
      <c r="B13" s="3" t="s">
        <v>64</v>
      </c>
      <c r="C13" s="5">
        <f>novaUNB_financna_nUNB!F38</f>
        <v>0</v>
      </c>
      <c r="D13" s="5">
        <f>novaUNB_financna_nUNB!G38</f>
        <v>0</v>
      </c>
      <c r="E13" s="5">
        <f>novaUNB_financna_nUNB!H38</f>
        <v>0</v>
      </c>
      <c r="F13" s="5">
        <f>novaUNB_financna_nUNB!I38</f>
        <v>21401908.765544057</v>
      </c>
      <c r="G13" s="5">
        <f>novaUNB_financna_nUNB!J38</f>
        <v>21340324.514640704</v>
      </c>
      <c r="H13" s="5">
        <f>novaUNB_financna_nUNB!K38</f>
        <v>25333919.833569512</v>
      </c>
      <c r="I13" s="5">
        <f>novaUNB_financna_nUNB!L38</f>
        <v>25397832.735230476</v>
      </c>
      <c r="J13" s="5">
        <f>novaUNB_financna_nUNB!M38</f>
        <v>25435409.939610258</v>
      </c>
      <c r="K13" s="5">
        <f>novaUNB_financna_nUNB!N38</f>
        <v>25449164.463638812</v>
      </c>
      <c r="L13" s="5">
        <f>novaUNB_financna_nUNB!O38</f>
        <v>25441473.832693338</v>
      </c>
      <c r="M13" s="5">
        <f>novaUNB_financna_nUNB!P38</f>
        <v>27572912.438380793</v>
      </c>
      <c r="N13" s="5">
        <f>novaUNB_financna_nUNB!Q38</f>
        <v>27558739.135185421</v>
      </c>
      <c r="O13" s="5">
        <f>novaUNB_financna_nUNB!R38</f>
        <v>27528518.223666638</v>
      </c>
      <c r="P13" s="5">
        <f>novaUNB_financna_nUNB!S38</f>
        <v>27481759.714765564</v>
      </c>
      <c r="Q13" s="5">
        <f>novaUNB_financna_nUNB!T38</f>
        <v>27417965.654713184</v>
      </c>
      <c r="R13" s="5">
        <f>novaUNB_financna_nUNB!U38</f>
        <v>28551931.204702094</v>
      </c>
      <c r="S13" s="5">
        <f>novaUNB_financna_nUNB!V38</f>
        <v>28486827.214252964</v>
      </c>
      <c r="T13" s="5">
        <f>novaUNB_financna_nUNB!W38</f>
        <v>28424436.547292128</v>
      </c>
      <c r="U13" s="5">
        <f>novaUNB_financna_nUNB!X38</f>
        <v>28365003.181671485</v>
      </c>
      <c r="V13" s="5">
        <f>novaUNB_financna_nUNB!Y38</f>
        <v>28308796.839931563</v>
      </c>
      <c r="W13" s="5">
        <f>novaUNB_financna_nUNB!Z38</f>
        <v>28963683.161583036</v>
      </c>
      <c r="X13" s="5">
        <f>novaUNB_financna_nUNB!AA38</f>
        <v>28914430.772994667</v>
      </c>
      <c r="Y13" s="5">
        <f>novaUNB_financna_nUNB!AB38</f>
        <v>28847326.96822235</v>
      </c>
      <c r="Z13" s="5">
        <f>novaUNB_financna_nUNB!AC38</f>
        <v>28761839.224267334</v>
      </c>
      <c r="AA13" s="5">
        <f>novaUNB_financna_nUNB!AD38</f>
        <v>28657424.924718738</v>
      </c>
      <c r="AB13" s="5">
        <f>novaUNB_financna_nUNB!AE38</f>
        <v>29485237.229021549</v>
      </c>
      <c r="AC13" s="5">
        <f>novaUNB_financna_nUNB!AF38</f>
        <v>29389857.931522429</v>
      </c>
      <c r="AD13" s="5">
        <f>novaUNB_financna_nUNB!AG38</f>
        <v>29281317.925690264</v>
      </c>
      <c r="AE13" s="5">
        <f>novaUNB_financna_nUNB!AH38</f>
        <v>29159289.139138222</v>
      </c>
      <c r="AF13" s="5">
        <f>novaUNB_financna_nUNB!AI38</f>
        <v>29023437.387151808</v>
      </c>
      <c r="AG13" s="5">
        <f>novaUNB_financna_nUNB!AJ38</f>
        <v>29990336.627760082</v>
      </c>
    </row>
    <row r="14" spans="1:33" x14ac:dyDescent="0.3">
      <c r="A14" s="8"/>
      <c r="B14" s="42" t="s">
        <v>65</v>
      </c>
      <c r="C14" s="44">
        <f>NPV(0.04,novaUNB_financna_nUNB!$D$43:'novaUNB_financna_nUNB'!F$43)</f>
        <v>-47783554.278561667</v>
      </c>
      <c r="D14" s="44">
        <f>NPV(0.04,novaUNB_financna_nUNB!$D$43:'novaUNB_financna_nUNB'!G$43)</f>
        <v>-208593592.71602881</v>
      </c>
      <c r="E14" s="44">
        <f>NPV(0.04,novaUNB_financna_nUNB!$D$43:'novaUNB_financna_nUNB'!H$43)</f>
        <v>-262344200.80181226</v>
      </c>
      <c r="F14" s="44">
        <f>NPV(0.04,novaUNB_financna_nUNB!$D$43:'novaUNB_financna_nUNB'!I$43)</f>
        <v>-247405747.74037686</v>
      </c>
      <c r="G14" s="44">
        <f>NPV(0.04,novaUNB_financna_nUNB!$D$43:'novaUNB_financna_nUNB'!J$43)</f>
        <v>-233088649.53519386</v>
      </c>
      <c r="H14" s="44">
        <f>NPV(0.04,novaUNB_financna_nUNB!$D$43:'novaUNB_financna_nUNB'!K$43)</f>
        <v>-216404127.9710041</v>
      </c>
      <c r="I14" s="44">
        <f>NPV(0.04,novaUNB_financna_nUNB!$D$43:'novaUNB_financna_nUNB'!L$43)</f>
        <v>-200316414.41772842</v>
      </c>
      <c r="J14" s="44">
        <f>NPV(0.04,novaUNB_financna_nUNB!$D$43:'novaUNB_financna_nUNB'!M$43)</f>
        <v>-184822073.26519665</v>
      </c>
      <c r="K14" s="44">
        <f>NPV(0.04,novaUNB_financna_nUNB!$D$43:'novaUNB_financna_nUNB'!N$43)</f>
        <v>-173008535.05824581</v>
      </c>
      <c r="L14" s="44">
        <f>NPV(0.04,novaUNB_financna_nUNB!$D$43:'novaUNB_financna_nUNB'!O$43)</f>
        <v>-161654167.25080636</v>
      </c>
      <c r="M14" s="44">
        <f>NPV(0.04,novaUNB_financna_nUNB!$D$43:'novaUNB_financna_nUNB'!P$43)</f>
        <v>-149456419.10473633</v>
      </c>
      <c r="N14" s="44">
        <f>NPV(0.04,novaUNB_financna_nUNB!$D$43:'novaUNB_financna_nUNB'!Q$43)</f>
        <v>-137735999.84756714</v>
      </c>
      <c r="O14" s="44">
        <f>NPV(0.04,novaUNB_financna_nUNB!$D$43:'novaUNB_financna_nUNB'!R$43)</f>
        <v>-126483146.54584892</v>
      </c>
      <c r="P14" s="44">
        <f>NPV(0.04,novaUNB_financna_nUNB!$D$43:'novaUNB_financna_nUNB'!S$43)</f>
        <v>-115688060.04438195</v>
      </c>
      <c r="Q14" s="44">
        <f>NPV(0.04,novaUNB_financna_nUNB!$D$43:'novaUNB_financna_nUNB'!T$43)</f>
        <v>-105340919.34126194</v>
      </c>
      <c r="R14" s="44">
        <f>NPV(0.04,novaUNB_financna_nUNB!$D$43:'novaUNB_financna_nUNB'!U$43)</f>
        <v>-94831988.304529339</v>
      </c>
      <c r="S14" s="44">
        <f>NPV(0.04,novaUNB_financna_nUNB!$D$43:'novaUNB_financna_nUNB'!V$43)</f>
        <v>-84758148.038897753</v>
      </c>
      <c r="T14" s="44">
        <f>NPV(0.04,novaUNB_financna_nUNB!$D$43:'novaUNB_financna_nUNB'!W$43)</f>
        <v>-75100237.454063863</v>
      </c>
      <c r="U14" s="44">
        <f>NPV(0.04,novaUNB_financna_nUNB!$D$43:'novaUNB_financna_nUNB'!X$43)</f>
        <v>-65839866.326567873</v>
      </c>
      <c r="V14" s="44">
        <f>NPV(0.04,novaUNB_financna_nUNB!$D$43:'novaUNB_financna_nUNB'!Y$43)</f>
        <v>-56959379.888021283</v>
      </c>
      <c r="W14" s="44">
        <f>NPV(0.04,novaUNB_financna_nUNB!$D$43:'novaUNB_financna_nUNB'!Z$43)</f>
        <v>-48154745.994164333</v>
      </c>
      <c r="X14" s="44">
        <f>NPV(0.04,novaUNB_financna_nUNB!$D$43:'novaUNB_financna_nUNB'!AA$43)</f>
        <v>-39707966.279906794</v>
      </c>
      <c r="Y14" s="44">
        <f>NPV(0.04,novaUNB_financna_nUNB!$D$43:'novaUNB_financna_nUNB'!AB$43)</f>
        <v>-31611234.473170578</v>
      </c>
      <c r="Z14" s="44">
        <f>NPV(0.04,novaUNB_financna_nUNB!$D$43:'novaUNB_financna_nUNB'!AC$43)</f>
        <v>-23856749.937024519</v>
      </c>
      <c r="AA14" s="44">
        <f>NPV(0.04,novaUNB_financna_nUNB!$D$43:'novaUNB_financna_nUNB'!AD$43)</f>
        <v>-16436727.415356949</v>
      </c>
      <c r="AB14" s="44">
        <f>NPV(0.04,novaUNB_financna_nUNB!$D$43:'novaUNB_financna_nUNB'!AE$43)</f>
        <v>-9026033.6213585623</v>
      </c>
      <c r="AC14" s="44">
        <f>NPV(0.04,novaUNB_financna_nUNB!$D$43:'novaUNB_financna_nUNB'!AF$43)</f>
        <v>-1930950.0184201878</v>
      </c>
      <c r="AD14" s="44">
        <f>NPV(0.04,novaUNB_financna_nUNB!$D$43:'novaUNB_financna_nUNB'!AG$43)</f>
        <v>4857780.8436159417</v>
      </c>
      <c r="AE14" s="44">
        <f>NPV(0.04,novaUNB_financna_nUNB!$D$43:'novaUNB_financna_nUNB'!AH$43)</f>
        <v>11349229.986992858</v>
      </c>
      <c r="AF14" s="44">
        <f>NPV(0.04,novaUNB_financna_nUNB!$D$43:'novaUNB_financna_nUNB'!AI$43)</f>
        <v>17552282.388895303</v>
      </c>
      <c r="AG14" s="44">
        <f>NPV(0.04,novaUNB_financna_nUNB!$D$43:'novaUNB_financna_nUNB'!AJ$43)</f>
        <v>23781777.300125942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6.5" x14ac:dyDescent="0.3"/>
  <cols>
    <col min="1" max="1" width="58.140625" style="1" bestFit="1" customWidth="1"/>
    <col min="2" max="2" width="14.5703125" style="1" bestFit="1" customWidth="1"/>
    <col min="3" max="3" width="26.5703125" style="1" bestFit="1" customWidth="1"/>
    <col min="4" max="4" width="27.140625" style="1" bestFit="1" customWidth="1"/>
    <col min="5" max="16384" width="9.140625" style="1"/>
  </cols>
  <sheetData>
    <row r="1" spans="1:4" x14ac:dyDescent="0.3">
      <c r="A1" s="1" t="s">
        <v>0</v>
      </c>
      <c r="B1" s="32" t="s">
        <v>27</v>
      </c>
    </row>
    <row r="2" spans="1:4" x14ac:dyDescent="0.3">
      <c r="A2" s="2" t="s">
        <v>1</v>
      </c>
    </row>
    <row r="3" spans="1:4" x14ac:dyDescent="0.3">
      <c r="A3" s="4">
        <v>42828</v>
      </c>
    </row>
    <row r="5" spans="1:4" x14ac:dyDescent="0.3">
      <c r="A5" s="1" t="s">
        <v>67</v>
      </c>
    </row>
    <row r="6" spans="1:4" x14ac:dyDescent="0.3">
      <c r="A6" s="2" t="s">
        <v>41</v>
      </c>
    </row>
    <row r="7" spans="1:4" x14ac:dyDescent="0.3">
      <c r="A7" s="10"/>
      <c r="B7" s="10" t="s">
        <v>68</v>
      </c>
      <c r="C7" s="10" t="s">
        <v>69</v>
      </c>
      <c r="D7" s="10" t="s">
        <v>70</v>
      </c>
    </row>
    <row r="8" spans="1:4" x14ac:dyDescent="0.3">
      <c r="A8" s="1" t="s">
        <v>19</v>
      </c>
      <c r="B8" s="28">
        <f>novaUNB_financna_projekt!B49</f>
        <v>-386869837.70170462</v>
      </c>
      <c r="C8" s="28">
        <v>-305230000</v>
      </c>
      <c r="D8" s="28">
        <f>novaUNB_financna_projekt!B55</f>
        <v>0</v>
      </c>
    </row>
    <row r="9" spans="1:4" x14ac:dyDescent="0.3">
      <c r="A9" s="1" t="s">
        <v>20</v>
      </c>
      <c r="B9" s="28">
        <f>novaUNB_financna_projekt!B50</f>
        <v>-132506139.22457746</v>
      </c>
      <c r="C9" s="28">
        <v>-70000000</v>
      </c>
      <c r="D9" s="28">
        <f>novaUNB_financna_projekt!B56</f>
        <v>254363698.47712722</v>
      </c>
    </row>
    <row r="10" spans="1:4" x14ac:dyDescent="0.3">
      <c r="A10" s="1" t="s">
        <v>21</v>
      </c>
      <c r="B10" s="28">
        <f>novaUNB_financna_projekt!B51</f>
        <v>-142581696.24432701</v>
      </c>
      <c r="C10" s="28">
        <v>-53540000</v>
      </c>
      <c r="D10" s="28">
        <f>novaUNB_financna_projekt!B57</f>
        <v>244288141.45737764</v>
      </c>
    </row>
    <row r="11" spans="1:4" x14ac:dyDescent="0.3">
      <c r="A11" s="1" t="s">
        <v>22</v>
      </c>
      <c r="B11" s="28">
        <f>novaUNB_financna_projekt!B52</f>
        <v>-165035407.76790151</v>
      </c>
      <c r="C11" s="28">
        <v>-36980000</v>
      </c>
      <c r="D11" s="28">
        <f>novaUNB_financna_projekt!B58</f>
        <v>221834429.93380314</v>
      </c>
    </row>
    <row r="12" spans="1:4" x14ac:dyDescent="0.3">
      <c r="A12" s="8" t="s">
        <v>23</v>
      </c>
      <c r="B12" s="38">
        <f>novaUNB_financna_projekt!B53</f>
        <v>-98079636.600576252</v>
      </c>
      <c r="C12" s="38">
        <v>6970000</v>
      </c>
      <c r="D12" s="38">
        <f>novaUNB_financna_projekt!B59</f>
        <v>288790201.10112852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6.5" x14ac:dyDescent="0.3"/>
  <cols>
    <col min="1" max="1" width="58.42578125" style="1" bestFit="1" customWidth="1"/>
    <col min="2" max="2" width="19.5703125" style="1" bestFit="1" customWidth="1"/>
    <col min="3" max="3" width="14.85546875" style="1" bestFit="1" customWidth="1"/>
    <col min="4" max="4" width="14.5703125" style="1" bestFit="1" customWidth="1"/>
    <col min="5" max="5" width="26.28515625" style="1" bestFit="1" customWidth="1"/>
    <col min="6" max="16384" width="9.140625" style="1"/>
  </cols>
  <sheetData>
    <row r="1" spans="1:5" x14ac:dyDescent="0.3">
      <c r="A1" s="1" t="s">
        <v>0</v>
      </c>
      <c r="B1" s="32" t="s">
        <v>27</v>
      </c>
    </row>
    <row r="2" spans="1:5" x14ac:dyDescent="0.3">
      <c r="A2" s="2" t="s">
        <v>1</v>
      </c>
    </row>
    <row r="3" spans="1:5" x14ac:dyDescent="0.3">
      <c r="A3" s="4">
        <v>42828</v>
      </c>
    </row>
    <row r="5" spans="1:5" x14ac:dyDescent="0.3">
      <c r="A5" s="1" t="s">
        <v>71</v>
      </c>
    </row>
    <row r="6" spans="1:5" x14ac:dyDescent="0.3">
      <c r="A6" s="2" t="s">
        <v>72</v>
      </c>
    </row>
    <row r="8" spans="1:5" x14ac:dyDescent="0.3">
      <c r="A8" s="45" t="s">
        <v>77</v>
      </c>
      <c r="B8" s="10" t="s">
        <v>73</v>
      </c>
      <c r="C8" s="10" t="s">
        <v>74</v>
      </c>
      <c r="D8" s="10" t="s">
        <v>75</v>
      </c>
      <c r="E8" s="10" t="s">
        <v>76</v>
      </c>
    </row>
    <row r="9" spans="1:5" x14ac:dyDescent="0.3">
      <c r="A9" s="28">
        <v>0</v>
      </c>
      <c r="B9" s="28">
        <v>288790201.1011284</v>
      </c>
      <c r="C9" s="28">
        <v>221834429.93380305</v>
      </c>
      <c r="D9" s="28">
        <v>244288141.45737752</v>
      </c>
      <c r="E9" s="28">
        <v>254363698.47712713</v>
      </c>
    </row>
    <row r="10" spans="1:5" x14ac:dyDescent="0.3">
      <c r="A10" s="28">
        <v>4000000</v>
      </c>
      <c r="B10" s="28">
        <v>234006907.73905709</v>
      </c>
      <c r="C10" s="28">
        <v>170873226.80629489</v>
      </c>
      <c r="D10" s="28">
        <v>188230818.01711851</v>
      </c>
      <c r="E10" s="28">
        <v>199580405.1150558</v>
      </c>
    </row>
    <row r="11" spans="1:5" x14ac:dyDescent="0.3">
      <c r="A11" s="28">
        <v>8000000</v>
      </c>
      <c r="B11" s="28">
        <v>179223614.37698564</v>
      </c>
      <c r="C11" s="28">
        <v>119912023.67878665</v>
      </c>
      <c r="D11" s="28">
        <v>132173494.5768595</v>
      </c>
      <c r="E11" s="28">
        <v>144797111.75298449</v>
      </c>
    </row>
    <row r="12" spans="1:5" x14ac:dyDescent="0.3">
      <c r="A12" s="28">
        <v>12000000</v>
      </c>
      <c r="B12" s="28">
        <v>124440321.01491436</v>
      </c>
      <c r="C12" s="28">
        <v>68950820.551278412</v>
      </c>
      <c r="D12" s="28">
        <v>76116171.136600494</v>
      </c>
      <c r="E12" s="28">
        <v>90013818.390913114</v>
      </c>
    </row>
    <row r="13" spans="1:5" x14ac:dyDescent="0.3">
      <c r="A13" s="28">
        <v>16000000</v>
      </c>
      <c r="B13" s="28">
        <v>69657027.652843013</v>
      </c>
      <c r="C13" s="28">
        <v>17989617.423770189</v>
      </c>
      <c r="D13" s="28">
        <v>20058847.696341339</v>
      </c>
      <c r="E13" s="28">
        <v>35230525.028841779</v>
      </c>
    </row>
    <row r="14" spans="1:5" x14ac:dyDescent="0.3">
      <c r="A14" s="28">
        <v>20000000</v>
      </c>
      <c r="B14" s="28">
        <v>14873734.290771678</v>
      </c>
      <c r="C14" s="28">
        <v>-32971585.703738108</v>
      </c>
      <c r="D14" s="28">
        <v>-35998475.743917681</v>
      </c>
      <c r="E14" s="28">
        <v>-19552768.333229575</v>
      </c>
    </row>
    <row r="15" spans="1:5" x14ac:dyDescent="0.3">
      <c r="A15" s="28">
        <v>24000000</v>
      </c>
      <c r="B15" s="28">
        <v>-39909559.071299672</v>
      </c>
      <c r="C15" s="28">
        <v>-83932788.831246302</v>
      </c>
      <c r="D15" s="28">
        <v>-92055799.184176773</v>
      </c>
      <c r="E15" s="28">
        <v>-74336061.695300907</v>
      </c>
    </row>
    <row r="16" spans="1:5" x14ac:dyDescent="0.3">
      <c r="A16" s="28">
        <v>28000000</v>
      </c>
      <c r="B16" s="28">
        <v>-94692852.433371007</v>
      </c>
      <c r="C16" s="28">
        <v>-134893991.9587546</v>
      </c>
      <c r="D16" s="28">
        <v>-148113122.62443581</v>
      </c>
      <c r="E16" s="28">
        <v>-129119355.05737224</v>
      </c>
    </row>
    <row r="17" spans="1:5" x14ac:dyDescent="0.3">
      <c r="A17" s="38">
        <v>32000000</v>
      </c>
      <c r="B17" s="38">
        <v>-149476145.79544225</v>
      </c>
      <c r="C17" s="38">
        <v>-185855195.08626267</v>
      </c>
      <c r="D17" s="38">
        <v>-204170446.06469488</v>
      </c>
      <c r="E17" s="38">
        <v>-183902648.41944358</v>
      </c>
    </row>
  </sheetData>
  <hyperlinks>
    <hyperlink ref="B1" location="novaUNB_podklady!R1C1" display="späť na obsa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novaUNB_podklady</vt:lpstr>
      <vt:lpstr>novaUNB_financna_nUNB</vt:lpstr>
      <vt:lpstr>novaUNB_financna_projekt</vt:lpstr>
      <vt:lpstr>novaUNB_graf1_3</vt:lpstr>
      <vt:lpstr>novaUNB_graf2</vt:lpstr>
      <vt:lpstr>novaUNB_graf4_9</vt:lpstr>
      <vt:lpstr>novaUNB_graf6_8</vt:lpstr>
      <vt:lpstr>novaUNB_graf7</vt:lpstr>
      <vt:lpstr>novaUNB_graf_10</vt:lpstr>
      <vt:lpstr>novaUNB_graf_11</vt:lpstr>
      <vt:lpstr>novaUNB_graf_12</vt:lpstr>
      <vt:lpstr>novaUNB_benchmarks</vt:lpstr>
      <vt:lpstr>novaUNB_GFA</vt:lpstr>
    </vt:vector>
  </TitlesOfParts>
  <Company>Ministerstvo financií 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Luptak Matus</dc:creator>
  <cp:lastModifiedBy>Luptak Matus</cp:lastModifiedBy>
  <dcterms:created xsi:type="dcterms:W3CDTF">2017-04-03T05:42:35Z</dcterms:created>
  <dcterms:modified xsi:type="dcterms:W3CDTF">2017-04-03T13:31:48Z</dcterms:modified>
</cp:coreProperties>
</file>