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mezesd\Documents\"/>
    </mc:Choice>
  </mc:AlternateContent>
  <xr:revisionPtr revIDLastSave="0" documentId="13_ncr:1_{8D623F3A-E6F4-4356-8502-40ABAADBE0BA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tatus po prestahovaní" sheetId="15" r:id="rId1"/>
    <sheet name="MZ SR + VšZP Prev. výd. bez pre" sheetId="17" r:id="rId2"/>
    <sheet name="MZ SR + VšZP Prev. výd. s preda" sheetId="18" r:id="rId3"/>
    <sheet name="Alternatívy" sheetId="14" r:id="rId4"/>
    <sheet name="Fit out contribution" sheetId="16" r:id="rId5"/>
    <sheet name="01 Investičné výdavky" sheetId="3" state="hidden" r:id="rId6"/>
    <sheet name="02 Zostatková hodnota" sheetId="5" state="hidden" r:id="rId7"/>
    <sheet name="04 Prevádzkové príjmy" sheetId="7" state="hidden" r:id="rId8"/>
    <sheet name="05 Finančná analýza" sheetId="8" state="hidden" r:id="rId9"/>
    <sheet name="Vstupy emisie" sheetId="10" state="hidden" r:id="rId10"/>
    <sheet name="07 Ekonomická analýza" sheetId="9" state="hidden" r:id="rId11"/>
  </sheets>
  <definedNames>
    <definedName name="_ftn1" localSheetId="6">'02 Zostatková hodnota'!#REF!</definedName>
    <definedName name="_ftnref1" localSheetId="6">'02 Zostatková hodnota'!#REF!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6" i="18" l="1"/>
  <c r="Q126" i="18"/>
  <c r="P126" i="18"/>
  <c r="O126" i="18"/>
  <c r="N126" i="18"/>
  <c r="M126" i="18"/>
  <c r="L126" i="18"/>
  <c r="K126" i="18"/>
  <c r="J126" i="18"/>
  <c r="I126" i="18"/>
  <c r="H126" i="18"/>
  <c r="G126" i="18"/>
  <c r="F126" i="18"/>
  <c r="E126" i="18"/>
  <c r="D126" i="18"/>
  <c r="C126" i="18"/>
  <c r="C102" i="18"/>
  <c r="C118" i="18"/>
  <c r="D123" i="18"/>
  <c r="E122" i="18"/>
  <c r="R121" i="18"/>
  <c r="Q121" i="18"/>
  <c r="P121" i="18"/>
  <c r="O121" i="18"/>
  <c r="N121" i="18"/>
  <c r="M121" i="18"/>
  <c r="L121" i="18"/>
  <c r="K121" i="18"/>
  <c r="J121" i="18"/>
  <c r="I121" i="18"/>
  <c r="H121" i="18"/>
  <c r="G121" i="18"/>
  <c r="F121" i="18"/>
  <c r="E121" i="18"/>
  <c r="D121" i="18"/>
  <c r="R114" i="18"/>
  <c r="Q114" i="18"/>
  <c r="P114" i="18"/>
  <c r="O114" i="18"/>
  <c r="N114" i="18"/>
  <c r="M114" i="18"/>
  <c r="L114" i="18"/>
  <c r="K114" i="18"/>
  <c r="J114" i="18"/>
  <c r="I114" i="18"/>
  <c r="H114" i="18"/>
  <c r="G114" i="18"/>
  <c r="F114" i="18"/>
  <c r="E114" i="18"/>
  <c r="D114" i="18"/>
  <c r="D111" i="18"/>
  <c r="E111" i="18" s="1"/>
  <c r="D110" i="18"/>
  <c r="E110" i="18" s="1"/>
  <c r="F110" i="18" s="1"/>
  <c r="G110" i="18" s="1"/>
  <c r="H110" i="18" s="1"/>
  <c r="R109" i="18"/>
  <c r="Q109" i="18"/>
  <c r="P109" i="18"/>
  <c r="O109" i="18"/>
  <c r="N109" i="18"/>
  <c r="M109" i="18"/>
  <c r="L109" i="18"/>
  <c r="K109" i="18"/>
  <c r="J109" i="18"/>
  <c r="I109" i="18"/>
  <c r="H109" i="18"/>
  <c r="G109" i="18"/>
  <c r="F109" i="18"/>
  <c r="E109" i="18"/>
  <c r="D109" i="18"/>
  <c r="R99" i="18"/>
  <c r="Q99" i="18"/>
  <c r="P99" i="18"/>
  <c r="O99" i="18"/>
  <c r="N99" i="18"/>
  <c r="M99" i="18"/>
  <c r="L99" i="18"/>
  <c r="K99" i="18"/>
  <c r="J99" i="18"/>
  <c r="I99" i="18"/>
  <c r="H99" i="18"/>
  <c r="G99" i="18"/>
  <c r="F99" i="18"/>
  <c r="E99" i="18"/>
  <c r="D99" i="18"/>
  <c r="R95" i="18"/>
  <c r="Q95" i="18"/>
  <c r="P95" i="18"/>
  <c r="O95" i="18"/>
  <c r="N95" i="18"/>
  <c r="M95" i="18"/>
  <c r="L95" i="18"/>
  <c r="K95" i="18"/>
  <c r="J95" i="18"/>
  <c r="I95" i="18"/>
  <c r="H95" i="18"/>
  <c r="G95" i="18"/>
  <c r="F95" i="18"/>
  <c r="E95" i="18"/>
  <c r="D95" i="18"/>
  <c r="R94" i="18"/>
  <c r="Q94" i="18"/>
  <c r="P94" i="18"/>
  <c r="O94" i="18"/>
  <c r="N94" i="18"/>
  <c r="M94" i="18"/>
  <c r="L94" i="18"/>
  <c r="K94" i="18"/>
  <c r="J94" i="18"/>
  <c r="I94" i="18"/>
  <c r="H94" i="18"/>
  <c r="G94" i="18"/>
  <c r="F94" i="18"/>
  <c r="E94" i="18"/>
  <c r="D94" i="18"/>
  <c r="R93" i="18"/>
  <c r="Q93" i="18"/>
  <c r="P93" i="18"/>
  <c r="O93" i="18"/>
  <c r="N93" i="18"/>
  <c r="M93" i="18"/>
  <c r="L93" i="18"/>
  <c r="K93" i="18"/>
  <c r="J93" i="18"/>
  <c r="I93" i="18"/>
  <c r="H93" i="18"/>
  <c r="G93" i="18"/>
  <c r="F93" i="18"/>
  <c r="E93" i="18"/>
  <c r="D93" i="18"/>
  <c r="F92" i="18"/>
  <c r="G92" i="18" s="1"/>
  <c r="E92" i="18"/>
  <c r="D92" i="18"/>
  <c r="R91" i="18"/>
  <c r="Q91" i="18"/>
  <c r="P91" i="18"/>
  <c r="O91" i="18"/>
  <c r="N91" i="18"/>
  <c r="M91" i="18"/>
  <c r="L91" i="18"/>
  <c r="K91" i="18"/>
  <c r="J91" i="18"/>
  <c r="I91" i="18"/>
  <c r="H91" i="18"/>
  <c r="G91" i="18"/>
  <c r="F91" i="18"/>
  <c r="E91" i="18"/>
  <c r="R88" i="18"/>
  <c r="Q88" i="18"/>
  <c r="P88" i="18"/>
  <c r="O88" i="18"/>
  <c r="N88" i="18"/>
  <c r="M88" i="18"/>
  <c r="L88" i="18"/>
  <c r="K88" i="18"/>
  <c r="J88" i="18"/>
  <c r="I88" i="18"/>
  <c r="H88" i="18"/>
  <c r="G88" i="18"/>
  <c r="F88" i="18"/>
  <c r="E88" i="18"/>
  <c r="D88" i="18"/>
  <c r="R85" i="18"/>
  <c r="Q85" i="18"/>
  <c r="P85" i="18"/>
  <c r="O85" i="18"/>
  <c r="N85" i="18"/>
  <c r="M85" i="18"/>
  <c r="L85" i="18"/>
  <c r="K85" i="18"/>
  <c r="J85" i="18"/>
  <c r="I85" i="18"/>
  <c r="H85" i="18"/>
  <c r="G85" i="18"/>
  <c r="F85" i="18"/>
  <c r="E85" i="18"/>
  <c r="D85" i="18"/>
  <c r="R84" i="18"/>
  <c r="Q84" i="18"/>
  <c r="P84" i="18"/>
  <c r="O84" i="18"/>
  <c r="N84" i="18"/>
  <c r="M84" i="18"/>
  <c r="L84" i="18"/>
  <c r="K84" i="18"/>
  <c r="J84" i="18"/>
  <c r="I84" i="18"/>
  <c r="H84" i="18"/>
  <c r="G84" i="18"/>
  <c r="F84" i="18"/>
  <c r="E84" i="18"/>
  <c r="D84" i="18"/>
  <c r="R83" i="18"/>
  <c r="Q83" i="18"/>
  <c r="P83" i="18"/>
  <c r="O83" i="18"/>
  <c r="N83" i="18"/>
  <c r="M83" i="18"/>
  <c r="L83" i="18"/>
  <c r="K83" i="18"/>
  <c r="J83" i="18"/>
  <c r="I83" i="18"/>
  <c r="H83" i="18"/>
  <c r="G83" i="18"/>
  <c r="F83" i="18"/>
  <c r="E83" i="18"/>
  <c r="D83" i="18"/>
  <c r="F82" i="18"/>
  <c r="E82" i="18"/>
  <c r="D82" i="18"/>
  <c r="R81" i="18"/>
  <c r="Q81" i="18"/>
  <c r="P81" i="18"/>
  <c r="O81" i="18"/>
  <c r="N81" i="18"/>
  <c r="M81" i="18"/>
  <c r="L81" i="18"/>
  <c r="K81" i="18"/>
  <c r="J81" i="18"/>
  <c r="I81" i="18"/>
  <c r="H81" i="18"/>
  <c r="G81" i="18"/>
  <c r="F81" i="18"/>
  <c r="E81" i="18"/>
  <c r="D76" i="18"/>
  <c r="E75" i="18"/>
  <c r="F75" i="18" s="1"/>
  <c r="G75" i="18" s="1"/>
  <c r="R74" i="18"/>
  <c r="Q74" i="18"/>
  <c r="P74" i="18"/>
  <c r="O74" i="18"/>
  <c r="N74" i="18"/>
  <c r="M74" i="18"/>
  <c r="L74" i="18"/>
  <c r="K74" i="18"/>
  <c r="J74" i="18"/>
  <c r="I74" i="18"/>
  <c r="H74" i="18"/>
  <c r="G74" i="18"/>
  <c r="F74" i="18"/>
  <c r="E74" i="18"/>
  <c r="D74" i="18"/>
  <c r="D70" i="18"/>
  <c r="E70" i="18" s="1"/>
  <c r="F70" i="18" s="1"/>
  <c r="G70" i="18" s="1"/>
  <c r="H70" i="18" s="1"/>
  <c r="I70" i="18" s="1"/>
  <c r="J70" i="18" s="1"/>
  <c r="K70" i="18" s="1"/>
  <c r="L70" i="18" s="1"/>
  <c r="M70" i="18" s="1"/>
  <c r="N70" i="18" s="1"/>
  <c r="O70" i="18" s="1"/>
  <c r="P70" i="18" s="1"/>
  <c r="Q70" i="18" s="1"/>
  <c r="R70" i="18" s="1"/>
  <c r="D69" i="18"/>
  <c r="E69" i="18" s="1"/>
  <c r="R68" i="18"/>
  <c r="Q68" i="18"/>
  <c r="P68" i="18"/>
  <c r="O68" i="18"/>
  <c r="N68" i="18"/>
  <c r="M68" i="18"/>
  <c r="L68" i="18"/>
  <c r="K68" i="18"/>
  <c r="J68" i="18"/>
  <c r="I68" i="18"/>
  <c r="H68" i="18"/>
  <c r="G68" i="18"/>
  <c r="F68" i="18"/>
  <c r="E68" i="18"/>
  <c r="D68" i="18"/>
  <c r="D65" i="18"/>
  <c r="D63" i="18"/>
  <c r="E63" i="18" s="1"/>
  <c r="F63" i="18" s="1"/>
  <c r="G63" i="18" s="1"/>
  <c r="H63" i="18" s="1"/>
  <c r="I63" i="18" s="1"/>
  <c r="J63" i="18" s="1"/>
  <c r="K63" i="18" s="1"/>
  <c r="L63" i="18" s="1"/>
  <c r="M63" i="18" s="1"/>
  <c r="N63" i="18" s="1"/>
  <c r="O63" i="18" s="1"/>
  <c r="P63" i="18" s="1"/>
  <c r="Q63" i="18" s="1"/>
  <c r="R63" i="18" s="1"/>
  <c r="C63" i="18" s="1"/>
  <c r="D62" i="18"/>
  <c r="E62" i="18" s="1"/>
  <c r="F62" i="18" s="1"/>
  <c r="G62" i="18" s="1"/>
  <c r="H62" i="18" s="1"/>
  <c r="I62" i="18" s="1"/>
  <c r="J62" i="18" s="1"/>
  <c r="K62" i="18" s="1"/>
  <c r="L62" i="18" s="1"/>
  <c r="M62" i="18" s="1"/>
  <c r="N62" i="18" s="1"/>
  <c r="O62" i="18" s="1"/>
  <c r="P62" i="18" s="1"/>
  <c r="Q62" i="18" s="1"/>
  <c r="R62" i="18" s="1"/>
  <c r="D61" i="18"/>
  <c r="E61" i="18" s="1"/>
  <c r="F61" i="18" s="1"/>
  <c r="G61" i="18" s="1"/>
  <c r="H61" i="18" s="1"/>
  <c r="I61" i="18" s="1"/>
  <c r="J61" i="18" s="1"/>
  <c r="K61" i="18" s="1"/>
  <c r="L61" i="18" s="1"/>
  <c r="M61" i="18" s="1"/>
  <c r="N61" i="18" s="1"/>
  <c r="O61" i="18" s="1"/>
  <c r="P61" i="18" s="1"/>
  <c r="Q61" i="18" s="1"/>
  <c r="R61" i="18" s="1"/>
  <c r="F60" i="18"/>
  <c r="E60" i="18"/>
  <c r="D60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5" i="18"/>
  <c r="E55" i="18" s="1"/>
  <c r="F55" i="18" s="1"/>
  <c r="G55" i="18" s="1"/>
  <c r="H55" i="18" s="1"/>
  <c r="I55" i="18" s="1"/>
  <c r="J55" i="18" s="1"/>
  <c r="K55" i="18" s="1"/>
  <c r="L55" i="18" s="1"/>
  <c r="M55" i="18" s="1"/>
  <c r="N55" i="18" s="1"/>
  <c r="O55" i="18" s="1"/>
  <c r="P55" i="18" s="1"/>
  <c r="Q55" i="18" s="1"/>
  <c r="R55" i="18" s="1"/>
  <c r="D54" i="18"/>
  <c r="E54" i="18" s="1"/>
  <c r="F54" i="18" s="1"/>
  <c r="G54" i="18" s="1"/>
  <c r="H54" i="18" s="1"/>
  <c r="I54" i="18" s="1"/>
  <c r="J54" i="18" s="1"/>
  <c r="K54" i="18" s="1"/>
  <c r="L54" i="18" s="1"/>
  <c r="M54" i="18" s="1"/>
  <c r="N54" i="18" s="1"/>
  <c r="O54" i="18" s="1"/>
  <c r="P54" i="18" s="1"/>
  <c r="Q54" i="18" s="1"/>
  <c r="R54" i="18" s="1"/>
  <c r="D53" i="18"/>
  <c r="E53" i="18" s="1"/>
  <c r="F53" i="18" s="1"/>
  <c r="F52" i="18"/>
  <c r="G52" i="18" s="1"/>
  <c r="H52" i="18" s="1"/>
  <c r="I52" i="18" s="1"/>
  <c r="J52" i="18" s="1"/>
  <c r="K52" i="18" s="1"/>
  <c r="L52" i="18" s="1"/>
  <c r="E52" i="18"/>
  <c r="D52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45" i="18"/>
  <c r="E45" i="18" s="1"/>
  <c r="D44" i="18"/>
  <c r="E44" i="18" s="1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D35" i="18"/>
  <c r="E35" i="18" s="1"/>
  <c r="F35" i="18" s="1"/>
  <c r="G35" i="18" s="1"/>
  <c r="H35" i="18" s="1"/>
  <c r="I35" i="18" s="1"/>
  <c r="J35" i="18" s="1"/>
  <c r="K35" i="18" s="1"/>
  <c r="L35" i="18" s="1"/>
  <c r="M35" i="18" s="1"/>
  <c r="N35" i="18" s="1"/>
  <c r="D34" i="18"/>
  <c r="E34" i="18" s="1"/>
  <c r="F34" i="18" s="1"/>
  <c r="G34" i="18" s="1"/>
  <c r="H34" i="18" s="1"/>
  <c r="I34" i="18" s="1"/>
  <c r="J34" i="18" s="1"/>
  <c r="K34" i="18" s="1"/>
  <c r="L34" i="18" s="1"/>
  <c r="M34" i="18" s="1"/>
  <c r="N34" i="18" s="1"/>
  <c r="O34" i="18" s="1"/>
  <c r="P34" i="18" s="1"/>
  <c r="Q34" i="18" s="1"/>
  <c r="R34" i="18" s="1"/>
  <c r="D33" i="18"/>
  <c r="E33" i="18" s="1"/>
  <c r="D32" i="18"/>
  <c r="E32" i="18" s="1"/>
  <c r="F32" i="18" s="1"/>
  <c r="D31" i="18"/>
  <c r="E31" i="18" s="1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D21" i="18"/>
  <c r="D20" i="18"/>
  <c r="E20" i="18" s="1"/>
  <c r="F20" i="18" s="1"/>
  <c r="G20" i="18" s="1"/>
  <c r="H20" i="18" s="1"/>
  <c r="I20" i="18" s="1"/>
  <c r="J20" i="18" s="1"/>
  <c r="K20" i="18" s="1"/>
  <c r="L20" i="18" s="1"/>
  <c r="M20" i="18" s="1"/>
  <c r="N20" i="18" s="1"/>
  <c r="O20" i="18" s="1"/>
  <c r="P20" i="18" s="1"/>
  <c r="Q20" i="18" s="1"/>
  <c r="R20" i="18" s="1"/>
  <c r="D19" i="18"/>
  <c r="E19" i="18" s="1"/>
  <c r="F19" i="18" s="1"/>
  <c r="G19" i="18" s="1"/>
  <c r="H19" i="18" s="1"/>
  <c r="I19" i="18" s="1"/>
  <c r="J19" i="18" s="1"/>
  <c r="K19" i="18" s="1"/>
  <c r="L19" i="18" s="1"/>
  <c r="M19" i="18" s="1"/>
  <c r="N19" i="18" s="1"/>
  <c r="O19" i="18" s="1"/>
  <c r="P19" i="18" s="1"/>
  <c r="Q19" i="18" s="1"/>
  <c r="R19" i="18" s="1"/>
  <c r="D18" i="18"/>
  <c r="E18" i="18" s="1"/>
  <c r="F18" i="18" s="1"/>
  <c r="G18" i="18" s="1"/>
  <c r="H18" i="18" s="1"/>
  <c r="I18" i="18" s="1"/>
  <c r="J18" i="18" s="1"/>
  <c r="K18" i="18" s="1"/>
  <c r="L18" i="18" s="1"/>
  <c r="M18" i="18" s="1"/>
  <c r="N18" i="18" s="1"/>
  <c r="O18" i="18" s="1"/>
  <c r="P18" i="18" s="1"/>
  <c r="Q18" i="18" s="1"/>
  <c r="R18" i="18" s="1"/>
  <c r="D17" i="18"/>
  <c r="E17" i="18" s="1"/>
  <c r="F17" i="18" s="1"/>
  <c r="G17" i="18" s="1"/>
  <c r="H17" i="18" s="1"/>
  <c r="I17" i="18" s="1"/>
  <c r="J17" i="18" s="1"/>
  <c r="K17" i="18" s="1"/>
  <c r="L17" i="18" s="1"/>
  <c r="M17" i="18" s="1"/>
  <c r="N17" i="18" s="1"/>
  <c r="O17" i="18" s="1"/>
  <c r="P17" i="18" s="1"/>
  <c r="Q17" i="18" s="1"/>
  <c r="R17" i="18" s="1"/>
  <c r="D16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D51" i="18" s="1"/>
  <c r="D59" i="18" s="1"/>
  <c r="D81" i="18" s="1"/>
  <c r="D91" i="18" s="1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D7" i="18"/>
  <c r="D6" i="18"/>
  <c r="E6" i="18" s="1"/>
  <c r="F6" i="18" s="1"/>
  <c r="G6" i="18" s="1"/>
  <c r="H6" i="18" s="1"/>
  <c r="I6" i="18" s="1"/>
  <c r="J6" i="18" s="1"/>
  <c r="K6" i="18" s="1"/>
  <c r="L6" i="18" s="1"/>
  <c r="M6" i="18" s="1"/>
  <c r="D5" i="18"/>
  <c r="E5" i="18" s="1"/>
  <c r="F5" i="18" s="1"/>
  <c r="G5" i="18" s="1"/>
  <c r="H5" i="18" s="1"/>
  <c r="I5" i="18" s="1"/>
  <c r="D4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C74" i="15"/>
  <c r="F28" i="15"/>
  <c r="H28" i="15"/>
  <c r="H5" i="15"/>
  <c r="H4" i="15"/>
  <c r="E14" i="15"/>
  <c r="J28" i="15"/>
  <c r="B30" i="15"/>
  <c r="B29" i="15"/>
  <c r="B28" i="15"/>
  <c r="C114" i="14"/>
  <c r="R88" i="17"/>
  <c r="Q88" i="17"/>
  <c r="P88" i="17"/>
  <c r="O88" i="17"/>
  <c r="N88" i="17"/>
  <c r="M88" i="17"/>
  <c r="L88" i="17"/>
  <c r="K88" i="17"/>
  <c r="J88" i="17"/>
  <c r="I88" i="17"/>
  <c r="H88" i="17"/>
  <c r="G88" i="17"/>
  <c r="F88" i="17"/>
  <c r="E88" i="17"/>
  <c r="D88" i="17"/>
  <c r="C88" i="17" s="1"/>
  <c r="C103" i="18" l="1"/>
  <c r="D71" i="18"/>
  <c r="D86" i="18"/>
  <c r="D89" i="18" s="1"/>
  <c r="E112" i="18"/>
  <c r="E116" i="18" s="1"/>
  <c r="E119" i="18" s="1"/>
  <c r="E71" i="18"/>
  <c r="C88" i="18"/>
  <c r="D112" i="18"/>
  <c r="D116" i="18" s="1"/>
  <c r="D119" i="18" s="1"/>
  <c r="E76" i="18"/>
  <c r="D46" i="18"/>
  <c r="F76" i="18"/>
  <c r="C94" i="18"/>
  <c r="C10" i="18"/>
  <c r="E86" i="18"/>
  <c r="E89" i="18" s="1"/>
  <c r="C93" i="18"/>
  <c r="C38" i="18"/>
  <c r="C83" i="18"/>
  <c r="F96" i="18"/>
  <c r="F97" i="18" s="1"/>
  <c r="F100" i="18" s="1"/>
  <c r="F104" i="18" s="1"/>
  <c r="J5" i="18"/>
  <c r="K5" i="18" s="1"/>
  <c r="L5" i="18" s="1"/>
  <c r="M5" i="18" s="1"/>
  <c r="N5" i="18" s="1"/>
  <c r="O5" i="18" s="1"/>
  <c r="P5" i="18" s="1"/>
  <c r="Q5" i="18" s="1"/>
  <c r="R5" i="18" s="1"/>
  <c r="N6" i="18"/>
  <c r="O6" i="18" s="1"/>
  <c r="P6" i="18" s="1"/>
  <c r="Q6" i="18" s="1"/>
  <c r="R6" i="18" s="1"/>
  <c r="O35" i="18"/>
  <c r="P35" i="18" s="1"/>
  <c r="Q35" i="18" s="1"/>
  <c r="R35" i="18" s="1"/>
  <c r="M52" i="18"/>
  <c r="G32" i="18"/>
  <c r="H32" i="18" s="1"/>
  <c r="I32" i="18" s="1"/>
  <c r="J32" i="18" s="1"/>
  <c r="K32" i="18" s="1"/>
  <c r="L32" i="18" s="1"/>
  <c r="M32" i="18" s="1"/>
  <c r="N32" i="18" s="1"/>
  <c r="O32" i="18" s="1"/>
  <c r="P32" i="18" s="1"/>
  <c r="Q32" i="18" s="1"/>
  <c r="R32" i="18" s="1"/>
  <c r="F45" i="18"/>
  <c r="G45" i="18" s="1"/>
  <c r="H45" i="18" s="1"/>
  <c r="I45" i="18" s="1"/>
  <c r="J45" i="18" s="1"/>
  <c r="K45" i="18" s="1"/>
  <c r="L45" i="18" s="1"/>
  <c r="M45" i="18" s="1"/>
  <c r="N45" i="18" s="1"/>
  <c r="O45" i="18" s="1"/>
  <c r="P45" i="18" s="1"/>
  <c r="Q45" i="18" s="1"/>
  <c r="R45" i="18" s="1"/>
  <c r="F33" i="18"/>
  <c r="G33" i="18" s="1"/>
  <c r="H33" i="18" s="1"/>
  <c r="I33" i="18" s="1"/>
  <c r="J33" i="18" s="1"/>
  <c r="K33" i="18" s="1"/>
  <c r="L33" i="18" s="1"/>
  <c r="M33" i="18" s="1"/>
  <c r="N33" i="18" s="1"/>
  <c r="O33" i="18" s="1"/>
  <c r="P33" i="18" s="1"/>
  <c r="Q33" i="18" s="1"/>
  <c r="R33" i="18" s="1"/>
  <c r="C17" i="18"/>
  <c r="E36" i="18"/>
  <c r="E40" i="18" s="1"/>
  <c r="C20" i="18"/>
  <c r="F31" i="18"/>
  <c r="D22" i="18"/>
  <c r="E16" i="18"/>
  <c r="E7" i="18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D8" i="18"/>
  <c r="C18" i="18"/>
  <c r="C54" i="18"/>
  <c r="G76" i="18"/>
  <c r="H75" i="18"/>
  <c r="C55" i="18"/>
  <c r="F64" i="18"/>
  <c r="G60" i="18"/>
  <c r="C19" i="18"/>
  <c r="C24" i="18"/>
  <c r="E46" i="18"/>
  <c r="F44" i="18"/>
  <c r="C34" i="18"/>
  <c r="C62" i="18"/>
  <c r="I110" i="18"/>
  <c r="F56" i="18"/>
  <c r="E21" i="18"/>
  <c r="F21" i="18" s="1"/>
  <c r="G21" i="18" s="1"/>
  <c r="H21" i="18" s="1"/>
  <c r="I21" i="18" s="1"/>
  <c r="J21" i="18" s="1"/>
  <c r="K21" i="18" s="1"/>
  <c r="L21" i="18" s="1"/>
  <c r="M21" i="18" s="1"/>
  <c r="N21" i="18" s="1"/>
  <c r="O21" i="18" s="1"/>
  <c r="P21" i="18" s="1"/>
  <c r="Q21" i="18" s="1"/>
  <c r="R21" i="18" s="1"/>
  <c r="G53" i="18"/>
  <c r="C70" i="18"/>
  <c r="H92" i="18"/>
  <c r="E4" i="18"/>
  <c r="C25" i="18"/>
  <c r="D56" i="18"/>
  <c r="C99" i="18"/>
  <c r="E56" i="18"/>
  <c r="F86" i="18"/>
  <c r="C84" i="18"/>
  <c r="E96" i="18"/>
  <c r="E97" i="18" s="1"/>
  <c r="E100" i="18" s="1"/>
  <c r="E104" i="18" s="1"/>
  <c r="D64" i="18"/>
  <c r="E65" i="18"/>
  <c r="F65" i="18" s="1"/>
  <c r="G65" i="18" s="1"/>
  <c r="H65" i="18" s="1"/>
  <c r="I65" i="18" s="1"/>
  <c r="J65" i="18" s="1"/>
  <c r="K65" i="18" s="1"/>
  <c r="L65" i="18" s="1"/>
  <c r="M65" i="18" s="1"/>
  <c r="N65" i="18" s="1"/>
  <c r="O65" i="18" s="1"/>
  <c r="P65" i="18" s="1"/>
  <c r="Q65" i="18" s="1"/>
  <c r="R65" i="18" s="1"/>
  <c r="F69" i="18"/>
  <c r="G82" i="18"/>
  <c r="F111" i="18"/>
  <c r="G111" i="18" s="1"/>
  <c r="C114" i="18"/>
  <c r="E123" i="18"/>
  <c r="F122" i="18"/>
  <c r="E64" i="18"/>
  <c r="C85" i="18"/>
  <c r="D96" i="18"/>
  <c r="C95" i="18"/>
  <c r="G96" i="18"/>
  <c r="G97" i="18" s="1"/>
  <c r="G100" i="18" s="1"/>
  <c r="G104" i="18" s="1"/>
  <c r="D36" i="18"/>
  <c r="C61" i="18"/>
  <c r="D116" i="17"/>
  <c r="E115" i="17"/>
  <c r="E116" i="17" s="1"/>
  <c r="R114" i="17"/>
  <c r="Q114" i="17"/>
  <c r="P114" i="17"/>
  <c r="O114" i="17"/>
  <c r="N114" i="17"/>
  <c r="M114" i="17"/>
  <c r="L114" i="17"/>
  <c r="K114" i="17"/>
  <c r="J114" i="17"/>
  <c r="I114" i="17"/>
  <c r="H114" i="17"/>
  <c r="G114" i="17"/>
  <c r="F114" i="17"/>
  <c r="E114" i="17"/>
  <c r="D114" i="17"/>
  <c r="R104" i="17"/>
  <c r="Q104" i="17"/>
  <c r="P104" i="17"/>
  <c r="O104" i="17"/>
  <c r="N104" i="17"/>
  <c r="M104" i="17"/>
  <c r="L104" i="17"/>
  <c r="K104" i="17"/>
  <c r="J104" i="17"/>
  <c r="I104" i="17"/>
  <c r="H104" i="17"/>
  <c r="G104" i="17"/>
  <c r="F104" i="17"/>
  <c r="E104" i="17"/>
  <c r="D104" i="17"/>
  <c r="R91" i="17"/>
  <c r="Q91" i="17"/>
  <c r="P91" i="17"/>
  <c r="O91" i="17"/>
  <c r="N91" i="17"/>
  <c r="M91" i="17"/>
  <c r="L91" i="17"/>
  <c r="K91" i="17"/>
  <c r="J91" i="17"/>
  <c r="I91" i="17"/>
  <c r="H91" i="17"/>
  <c r="G91" i="17"/>
  <c r="F91" i="17"/>
  <c r="E91" i="17"/>
  <c r="R81" i="17"/>
  <c r="Q81" i="17"/>
  <c r="P81" i="17"/>
  <c r="O81" i="17"/>
  <c r="N81" i="17"/>
  <c r="M81" i="17"/>
  <c r="L81" i="17"/>
  <c r="K81" i="17"/>
  <c r="J81" i="17"/>
  <c r="I81" i="17"/>
  <c r="H81" i="17"/>
  <c r="G81" i="17"/>
  <c r="F81" i="17"/>
  <c r="E81" i="17"/>
  <c r="D76" i="17"/>
  <c r="E75" i="17"/>
  <c r="F75" i="17" s="1"/>
  <c r="R74" i="17"/>
  <c r="Q74" i="17"/>
  <c r="P74" i="17"/>
  <c r="O74" i="17"/>
  <c r="N74" i="17"/>
  <c r="M74" i="17"/>
  <c r="L74" i="17"/>
  <c r="K74" i="17"/>
  <c r="J74" i="17"/>
  <c r="I74" i="17"/>
  <c r="H74" i="17"/>
  <c r="G74" i="17"/>
  <c r="F74" i="17"/>
  <c r="E74" i="17"/>
  <c r="D74" i="17"/>
  <c r="R68" i="17"/>
  <c r="Q68" i="17"/>
  <c r="P68" i="17"/>
  <c r="O68" i="17"/>
  <c r="N68" i="17"/>
  <c r="M68" i="17"/>
  <c r="L68" i="17"/>
  <c r="K68" i="17"/>
  <c r="J68" i="17"/>
  <c r="I68" i="17"/>
  <c r="H68" i="17"/>
  <c r="G68" i="17"/>
  <c r="F68" i="17"/>
  <c r="E68" i="17"/>
  <c r="D68" i="17"/>
  <c r="R59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D51" i="17" s="1"/>
  <c r="D59" i="17" s="1"/>
  <c r="D81" i="17" s="1"/>
  <c r="D91" i="17" s="1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C395" i="14"/>
  <c r="C272" i="14"/>
  <c r="C30" i="15"/>
  <c r="R25" i="17" s="1"/>
  <c r="C5" i="18" l="1"/>
  <c r="C33" i="18"/>
  <c r="D78" i="18"/>
  <c r="C45" i="18"/>
  <c r="F112" i="18"/>
  <c r="F116" i="18" s="1"/>
  <c r="F119" i="18" s="1"/>
  <c r="C7" i="18"/>
  <c r="D97" i="18"/>
  <c r="C21" i="18"/>
  <c r="F123" i="18"/>
  <c r="G122" i="18"/>
  <c r="F4" i="18"/>
  <c r="E8" i="18"/>
  <c r="E12" i="18" s="1"/>
  <c r="G64" i="18"/>
  <c r="H60" i="18"/>
  <c r="J110" i="18"/>
  <c r="H96" i="18"/>
  <c r="H97" i="18" s="1"/>
  <c r="H100" i="18" s="1"/>
  <c r="H104" i="18" s="1"/>
  <c r="I92" i="18"/>
  <c r="F16" i="18"/>
  <c r="E22" i="18"/>
  <c r="E27" i="18" s="1"/>
  <c r="C32" i="18"/>
  <c r="D12" i="18"/>
  <c r="D27" i="18"/>
  <c r="D40" i="18"/>
  <c r="H111" i="18"/>
  <c r="G112" i="18"/>
  <c r="G116" i="18" s="1"/>
  <c r="G119" i="18" s="1"/>
  <c r="C65" i="18"/>
  <c r="F36" i="18"/>
  <c r="F40" i="18" s="1"/>
  <c r="G31" i="18"/>
  <c r="N52" i="18"/>
  <c r="G69" i="18"/>
  <c r="F71" i="18"/>
  <c r="E78" i="18"/>
  <c r="F89" i="18"/>
  <c r="H76" i="18"/>
  <c r="I75" i="18"/>
  <c r="H53" i="18"/>
  <c r="G56" i="18"/>
  <c r="F46" i="18"/>
  <c r="G44" i="18"/>
  <c r="C35" i="18"/>
  <c r="C6" i="18"/>
  <c r="G86" i="18"/>
  <c r="H82" i="18"/>
  <c r="O25" i="17"/>
  <c r="D25" i="17"/>
  <c r="G25" i="17"/>
  <c r="I25" i="17"/>
  <c r="P25" i="17"/>
  <c r="H25" i="17"/>
  <c r="J25" i="17"/>
  <c r="K25" i="17"/>
  <c r="L25" i="17"/>
  <c r="M25" i="17"/>
  <c r="N25" i="17"/>
  <c r="E25" i="17"/>
  <c r="Q25" i="17"/>
  <c r="F25" i="17"/>
  <c r="E76" i="17"/>
  <c r="G75" i="17"/>
  <c r="G76" i="17" s="1"/>
  <c r="F76" i="17"/>
  <c r="F115" i="17"/>
  <c r="C73" i="15"/>
  <c r="C58" i="15"/>
  <c r="E39" i="15"/>
  <c r="E38" i="15"/>
  <c r="J4" i="15"/>
  <c r="F4" i="15" s="1"/>
  <c r="E8" i="16"/>
  <c r="D8" i="16"/>
  <c r="C7" i="16"/>
  <c r="F3" i="16"/>
  <c r="C151" i="14"/>
  <c r="C5" i="15" s="1"/>
  <c r="E48" i="18" l="1"/>
  <c r="K110" i="18"/>
  <c r="I60" i="18"/>
  <c r="H64" i="18"/>
  <c r="I76" i="18"/>
  <c r="J75" i="18"/>
  <c r="G89" i="18"/>
  <c r="G16" i="18"/>
  <c r="F22" i="18"/>
  <c r="O52" i="18"/>
  <c r="G36" i="18"/>
  <c r="H31" i="18"/>
  <c r="G4" i="18"/>
  <c r="F8" i="18"/>
  <c r="I111" i="18"/>
  <c r="H112" i="18"/>
  <c r="G123" i="18"/>
  <c r="H122" i="18"/>
  <c r="I53" i="18"/>
  <c r="H56" i="18"/>
  <c r="H86" i="18"/>
  <c r="I82" i="18"/>
  <c r="I96" i="18"/>
  <c r="I97" i="18" s="1"/>
  <c r="I100" i="18" s="1"/>
  <c r="I104" i="18" s="1"/>
  <c r="J92" i="18"/>
  <c r="D100" i="18"/>
  <c r="D104" i="18" s="1"/>
  <c r="G46" i="18"/>
  <c r="H44" i="18"/>
  <c r="F78" i="18"/>
  <c r="H69" i="18"/>
  <c r="G71" i="18"/>
  <c r="G78" i="18" s="1"/>
  <c r="D48" i="18"/>
  <c r="K99" i="17"/>
  <c r="J99" i="17"/>
  <c r="I99" i="17"/>
  <c r="H99" i="17"/>
  <c r="G99" i="17"/>
  <c r="R99" i="17"/>
  <c r="F99" i="17"/>
  <c r="Q99" i="17"/>
  <c r="E99" i="17"/>
  <c r="P99" i="17"/>
  <c r="O99" i="17"/>
  <c r="N99" i="17"/>
  <c r="D99" i="17"/>
  <c r="M99" i="17"/>
  <c r="L99" i="17"/>
  <c r="C25" i="17"/>
  <c r="H75" i="17"/>
  <c r="H76" i="17" s="1"/>
  <c r="G38" i="17"/>
  <c r="E38" i="17"/>
  <c r="D38" i="17"/>
  <c r="R38" i="17"/>
  <c r="F38" i="17"/>
  <c r="O38" i="17"/>
  <c r="N38" i="17"/>
  <c r="M38" i="17"/>
  <c r="L38" i="17"/>
  <c r="K38" i="17"/>
  <c r="J38" i="17"/>
  <c r="I38" i="17"/>
  <c r="H38" i="17"/>
  <c r="Q38" i="17"/>
  <c r="P38" i="17"/>
  <c r="F116" i="17"/>
  <c r="G115" i="17"/>
  <c r="C56" i="14"/>
  <c r="C412" i="14"/>
  <c r="C409" i="14"/>
  <c r="C406" i="14"/>
  <c r="C386" i="14"/>
  <c r="C387" i="14" s="1"/>
  <c r="C385" i="14"/>
  <c r="C382" i="14"/>
  <c r="C383" i="14" s="1"/>
  <c r="C380" i="14"/>
  <c r="C381" i="14" s="1"/>
  <c r="C368" i="14"/>
  <c r="G344" i="14"/>
  <c r="G345" i="14" s="1"/>
  <c r="F344" i="14"/>
  <c r="F345" i="14" s="1"/>
  <c r="E344" i="14"/>
  <c r="E345" i="14" s="1"/>
  <c r="C341" i="14"/>
  <c r="C356" i="14" s="1"/>
  <c r="C330" i="14"/>
  <c r="F307" i="14"/>
  <c r="E307" i="14"/>
  <c r="C307" i="14"/>
  <c r="G306" i="14"/>
  <c r="G307" i="14" s="1"/>
  <c r="C303" i="14"/>
  <c r="C314" i="14" s="1"/>
  <c r="C290" i="14"/>
  <c r="C287" i="14"/>
  <c r="C284" i="14"/>
  <c r="C263" i="14"/>
  <c r="C264" i="14" s="1"/>
  <c r="C262" i="14"/>
  <c r="C259" i="14"/>
  <c r="C260" i="14" s="1"/>
  <c r="C257" i="14"/>
  <c r="C258" i="14" s="1"/>
  <c r="C245" i="14"/>
  <c r="G222" i="14"/>
  <c r="F222" i="14"/>
  <c r="E222" i="14"/>
  <c r="C218" i="14"/>
  <c r="C222" i="14" s="1"/>
  <c r="C207" i="14"/>
  <c r="G184" i="14"/>
  <c r="F184" i="14"/>
  <c r="E184" i="14"/>
  <c r="C184" i="14"/>
  <c r="C180" i="14"/>
  <c r="C193" i="14" s="1"/>
  <c r="C167" i="14"/>
  <c r="C164" i="14"/>
  <c r="C161" i="14"/>
  <c r="C142" i="14"/>
  <c r="C140" i="14"/>
  <c r="C132" i="14"/>
  <c r="C129" i="14"/>
  <c r="C126" i="14"/>
  <c r="C95" i="14"/>
  <c r="C93" i="14"/>
  <c r="C94" i="14" s="1"/>
  <c r="C102" i="14" s="1"/>
  <c r="C91" i="14"/>
  <c r="C92" i="14" s="1"/>
  <c r="C81" i="14"/>
  <c r="C79" i="14"/>
  <c r="C76" i="14"/>
  <c r="C77" i="14" s="1"/>
  <c r="C75" i="14"/>
  <c r="C70" i="14"/>
  <c r="C65" i="14"/>
  <c r="D16" i="17" s="1"/>
  <c r="C42" i="14"/>
  <c r="C43" i="14" s="1"/>
  <c r="C41" i="14"/>
  <c r="C38" i="14"/>
  <c r="C39" i="14" s="1"/>
  <c r="C36" i="14"/>
  <c r="C37" i="14" s="1"/>
  <c r="C28" i="14"/>
  <c r="C25" i="14"/>
  <c r="C19" i="14"/>
  <c r="C20" i="14" s="1"/>
  <c r="H36" i="18" l="1"/>
  <c r="H40" i="18" s="1"/>
  <c r="I31" i="18"/>
  <c r="G40" i="18"/>
  <c r="H116" i="18"/>
  <c r="H119" i="18" s="1"/>
  <c r="P52" i="18"/>
  <c r="H71" i="18"/>
  <c r="H78" i="18" s="1"/>
  <c r="I69" i="18"/>
  <c r="J96" i="18"/>
  <c r="K92" i="18"/>
  <c r="F27" i="18"/>
  <c r="I86" i="18"/>
  <c r="J82" i="18"/>
  <c r="H16" i="18"/>
  <c r="G22" i="18"/>
  <c r="G27" i="18" s="1"/>
  <c r="J111" i="18"/>
  <c r="I112" i="18"/>
  <c r="I116" i="18" s="1"/>
  <c r="I119" i="18" s="1"/>
  <c r="H4" i="18"/>
  <c r="G8" i="18"/>
  <c r="G12" i="18" s="1"/>
  <c r="J60" i="18"/>
  <c r="I64" i="18"/>
  <c r="L110" i="18"/>
  <c r="H89" i="18"/>
  <c r="F12" i="18"/>
  <c r="J76" i="18"/>
  <c r="K75" i="18"/>
  <c r="H46" i="18"/>
  <c r="I44" i="18"/>
  <c r="J53" i="18"/>
  <c r="I56" i="18"/>
  <c r="H123" i="18"/>
  <c r="I122" i="18"/>
  <c r="C99" i="17"/>
  <c r="E16" i="17"/>
  <c r="D34" i="17"/>
  <c r="D60" i="17"/>
  <c r="E60" i="17"/>
  <c r="D19" i="17"/>
  <c r="D20" i="17"/>
  <c r="D52" i="17"/>
  <c r="D7" i="17"/>
  <c r="E52" i="17"/>
  <c r="D31" i="17"/>
  <c r="F52" i="17"/>
  <c r="G52" i="17" s="1"/>
  <c r="H52" i="17" s="1"/>
  <c r="I52" i="17" s="1"/>
  <c r="M93" i="17"/>
  <c r="L93" i="17"/>
  <c r="I93" i="17"/>
  <c r="H93" i="17"/>
  <c r="G93" i="17"/>
  <c r="R93" i="17"/>
  <c r="F93" i="17"/>
  <c r="Q93" i="17"/>
  <c r="E93" i="17"/>
  <c r="K93" i="17"/>
  <c r="P93" i="17"/>
  <c r="D93" i="17"/>
  <c r="O93" i="17"/>
  <c r="N93" i="17"/>
  <c r="J93" i="17"/>
  <c r="I75" i="17"/>
  <c r="I76" i="17" s="1"/>
  <c r="D32" i="17"/>
  <c r="D53" i="17"/>
  <c r="E53" i="17" s="1"/>
  <c r="F53" i="17" s="1"/>
  <c r="G53" i="17" s="1"/>
  <c r="D106" i="17"/>
  <c r="E106" i="17" s="1"/>
  <c r="F106" i="17" s="1"/>
  <c r="G106" i="17" s="1"/>
  <c r="H106" i="17" s="1"/>
  <c r="I106" i="17" s="1"/>
  <c r="J106" i="17" s="1"/>
  <c r="K106" i="17" s="1"/>
  <c r="L106" i="17" s="1"/>
  <c r="M106" i="17" s="1"/>
  <c r="N106" i="17" s="1"/>
  <c r="O106" i="17" s="1"/>
  <c r="P106" i="17" s="1"/>
  <c r="Q106" i="17" s="1"/>
  <c r="R106" i="17" s="1"/>
  <c r="D70" i="17"/>
  <c r="D33" i="17"/>
  <c r="I85" i="17"/>
  <c r="G85" i="17"/>
  <c r="R85" i="17"/>
  <c r="H85" i="17"/>
  <c r="Q85" i="17"/>
  <c r="E85" i="17"/>
  <c r="P85" i="17"/>
  <c r="D85" i="17"/>
  <c r="O85" i="17"/>
  <c r="N85" i="17"/>
  <c r="M85" i="17"/>
  <c r="L85" i="17"/>
  <c r="K85" i="17"/>
  <c r="J85" i="17"/>
  <c r="F85" i="17"/>
  <c r="D17" i="17"/>
  <c r="F60" i="17"/>
  <c r="D45" i="17"/>
  <c r="E82" i="17"/>
  <c r="O83" i="17"/>
  <c r="N83" i="17"/>
  <c r="K83" i="17"/>
  <c r="J83" i="17"/>
  <c r="I83" i="17"/>
  <c r="H83" i="17"/>
  <c r="G83" i="17"/>
  <c r="R83" i="17"/>
  <c r="F83" i="17"/>
  <c r="Q83" i="17"/>
  <c r="E83" i="17"/>
  <c r="P83" i="17"/>
  <c r="D83" i="17"/>
  <c r="M83" i="17"/>
  <c r="L83" i="17"/>
  <c r="D21" i="17"/>
  <c r="D92" i="17"/>
  <c r="D82" i="17"/>
  <c r="E92" i="17"/>
  <c r="F82" i="17"/>
  <c r="D35" i="17"/>
  <c r="D61" i="17"/>
  <c r="E61" i="17" s="1"/>
  <c r="F61" i="17" s="1"/>
  <c r="G61" i="17" s="1"/>
  <c r="H61" i="17" s="1"/>
  <c r="D5" i="17"/>
  <c r="F92" i="17"/>
  <c r="C38" i="17"/>
  <c r="D105" i="17"/>
  <c r="D69" i="17"/>
  <c r="D44" i="17"/>
  <c r="H115" i="17"/>
  <c r="G116" i="17"/>
  <c r="J75" i="17"/>
  <c r="I5" i="15"/>
  <c r="E5" i="15" s="1"/>
  <c r="C4" i="15"/>
  <c r="C103" i="14"/>
  <c r="C47" i="14"/>
  <c r="C147" i="14"/>
  <c r="C169" i="14"/>
  <c r="C172" i="14" s="1"/>
  <c r="B6" i="15" s="1"/>
  <c r="C195" i="14"/>
  <c r="C196" i="14" s="1"/>
  <c r="C134" i="14"/>
  <c r="C86" i="14"/>
  <c r="C85" i="14"/>
  <c r="C292" i="14"/>
  <c r="C295" i="14" s="1"/>
  <c r="C316" i="14"/>
  <c r="C318" i="14"/>
  <c r="C191" i="14"/>
  <c r="C414" i="14"/>
  <c r="C417" i="14" s="1"/>
  <c r="C229" i="14"/>
  <c r="C354" i="14"/>
  <c r="C30" i="14"/>
  <c r="C231" i="14"/>
  <c r="C48" i="14"/>
  <c r="C345" i="14"/>
  <c r="C271" i="14"/>
  <c r="C274" i="14" s="1"/>
  <c r="C268" i="14"/>
  <c r="C394" i="14"/>
  <c r="C397" i="14" s="1"/>
  <c r="C391" i="14"/>
  <c r="D5" i="15" s="1"/>
  <c r="C233" i="14"/>
  <c r="C352" i="14"/>
  <c r="F48" i="18" l="1"/>
  <c r="I71" i="18"/>
  <c r="J69" i="18"/>
  <c r="I123" i="18"/>
  <c r="J122" i="18"/>
  <c r="Q52" i="18"/>
  <c r="H22" i="18"/>
  <c r="H27" i="18" s="1"/>
  <c r="I16" i="18"/>
  <c r="K111" i="18"/>
  <c r="J112" i="18"/>
  <c r="J116" i="18" s="1"/>
  <c r="J119" i="18" s="1"/>
  <c r="M110" i="18"/>
  <c r="K53" i="18"/>
  <c r="J56" i="18"/>
  <c r="J86" i="18"/>
  <c r="K82" i="18"/>
  <c r="I46" i="18"/>
  <c r="J44" i="18"/>
  <c r="I89" i="18"/>
  <c r="J31" i="18"/>
  <c r="I36" i="18"/>
  <c r="K60" i="18"/>
  <c r="J64" i="18"/>
  <c r="K76" i="18"/>
  <c r="L75" i="18"/>
  <c r="G48" i="18"/>
  <c r="K96" i="18"/>
  <c r="K97" i="18" s="1"/>
  <c r="K100" i="18" s="1"/>
  <c r="K104" i="18" s="1"/>
  <c r="L92" i="18"/>
  <c r="H8" i="18"/>
  <c r="I4" i="18"/>
  <c r="J97" i="18"/>
  <c r="C106" i="17"/>
  <c r="D63" i="17"/>
  <c r="D4" i="17"/>
  <c r="D71" i="17"/>
  <c r="E69" i="17"/>
  <c r="L84" i="17"/>
  <c r="K84" i="17"/>
  <c r="J84" i="17"/>
  <c r="H84" i="17"/>
  <c r="G84" i="17"/>
  <c r="R84" i="17"/>
  <c r="F84" i="17"/>
  <c r="Q84" i="17"/>
  <c r="E84" i="17"/>
  <c r="E86" i="17" s="1"/>
  <c r="E89" i="17" s="1"/>
  <c r="P84" i="17"/>
  <c r="D84" i="17"/>
  <c r="N84" i="17"/>
  <c r="I84" i="17"/>
  <c r="O84" i="17"/>
  <c r="M84" i="17"/>
  <c r="E105" i="17"/>
  <c r="D107" i="17"/>
  <c r="G82" i="17"/>
  <c r="F86" i="17"/>
  <c r="F89" i="17" s="1"/>
  <c r="E33" i="17"/>
  <c r="F33" i="17" s="1"/>
  <c r="G33" i="17" s="1"/>
  <c r="H33" i="17" s="1"/>
  <c r="I33" i="17" s="1"/>
  <c r="J33" i="17" s="1"/>
  <c r="K33" i="17" s="1"/>
  <c r="L33" i="17" s="1"/>
  <c r="M33" i="17" s="1"/>
  <c r="N33" i="17" s="1"/>
  <c r="O33" i="17" s="1"/>
  <c r="P33" i="17" s="1"/>
  <c r="Q33" i="17" s="1"/>
  <c r="R33" i="17" s="1"/>
  <c r="E19" i="17"/>
  <c r="F19" i="17" s="1"/>
  <c r="G19" i="17" s="1"/>
  <c r="H19" i="17" s="1"/>
  <c r="I19" i="17" s="1"/>
  <c r="J19" i="17" s="1"/>
  <c r="K19" i="17" s="1"/>
  <c r="L19" i="17" s="1"/>
  <c r="M19" i="17" s="1"/>
  <c r="N19" i="17" s="1"/>
  <c r="O19" i="17" s="1"/>
  <c r="P19" i="17" s="1"/>
  <c r="Q19" i="17" s="1"/>
  <c r="R19" i="17" s="1"/>
  <c r="D18" i="17"/>
  <c r="D22" i="17" s="1"/>
  <c r="E70" i="17"/>
  <c r="F70" i="17" s="1"/>
  <c r="G70" i="17" s="1"/>
  <c r="H70" i="17" s="1"/>
  <c r="I70" i="17" s="1"/>
  <c r="J70" i="17" s="1"/>
  <c r="K70" i="17" s="1"/>
  <c r="L70" i="17" s="1"/>
  <c r="M70" i="17" s="1"/>
  <c r="N70" i="17" s="1"/>
  <c r="O70" i="17" s="1"/>
  <c r="P70" i="17" s="1"/>
  <c r="Q70" i="17" s="1"/>
  <c r="R70" i="17" s="1"/>
  <c r="E31" i="17"/>
  <c r="D36" i="17"/>
  <c r="D40" i="17" s="1"/>
  <c r="J94" i="17"/>
  <c r="I94" i="17"/>
  <c r="G94" i="17"/>
  <c r="R94" i="17"/>
  <c r="F94" i="17"/>
  <c r="Q94" i="17"/>
  <c r="E94" i="17"/>
  <c r="P94" i="17"/>
  <c r="D94" i="17"/>
  <c r="O94" i="17"/>
  <c r="N94" i="17"/>
  <c r="M94" i="17"/>
  <c r="L94" i="17"/>
  <c r="K94" i="17"/>
  <c r="H94" i="17"/>
  <c r="C211" i="14"/>
  <c r="D55" i="17"/>
  <c r="H10" i="17"/>
  <c r="G10" i="17"/>
  <c r="M10" i="17"/>
  <c r="R10" i="17"/>
  <c r="P10" i="17"/>
  <c r="D10" i="17"/>
  <c r="O10" i="17"/>
  <c r="N10" i="17"/>
  <c r="L10" i="17"/>
  <c r="J10" i="17"/>
  <c r="F10" i="17"/>
  <c r="E10" i="17"/>
  <c r="K10" i="17"/>
  <c r="I10" i="17"/>
  <c r="Q10" i="17"/>
  <c r="E35" i="17"/>
  <c r="F35" i="17" s="1"/>
  <c r="G35" i="17" s="1"/>
  <c r="H35" i="17" s="1"/>
  <c r="I35" i="17" s="1"/>
  <c r="J35" i="17" s="1"/>
  <c r="K35" i="17" s="1"/>
  <c r="L35" i="17" s="1"/>
  <c r="M35" i="17" s="1"/>
  <c r="N35" i="17" s="1"/>
  <c r="O35" i="17" s="1"/>
  <c r="P35" i="17" s="1"/>
  <c r="Q35" i="17" s="1"/>
  <c r="R35" i="17" s="1"/>
  <c r="E20" i="17"/>
  <c r="F20" i="17" s="1"/>
  <c r="G20" i="17" s="1"/>
  <c r="H20" i="17" s="1"/>
  <c r="I20" i="17" s="1"/>
  <c r="J20" i="17" s="1"/>
  <c r="K20" i="17" s="1"/>
  <c r="L20" i="17" s="1"/>
  <c r="M20" i="17" s="1"/>
  <c r="N20" i="17" s="1"/>
  <c r="O20" i="17" s="1"/>
  <c r="P20" i="17" s="1"/>
  <c r="Q20" i="17" s="1"/>
  <c r="R20" i="17" s="1"/>
  <c r="F16" i="17"/>
  <c r="R109" i="17"/>
  <c r="F109" i="17"/>
  <c r="O109" i="17"/>
  <c r="N109" i="17"/>
  <c r="M109" i="17"/>
  <c r="D109" i="17"/>
  <c r="L109" i="17"/>
  <c r="K109" i="17"/>
  <c r="Q109" i="17"/>
  <c r="E109" i="17"/>
  <c r="P109" i="17"/>
  <c r="J109" i="17"/>
  <c r="I109" i="17"/>
  <c r="H109" i="17"/>
  <c r="G109" i="17"/>
  <c r="C83" i="17"/>
  <c r="C93" i="17"/>
  <c r="G92" i="17"/>
  <c r="E45" i="17"/>
  <c r="F45" i="17" s="1"/>
  <c r="G45" i="17" s="1"/>
  <c r="H45" i="17" s="1"/>
  <c r="I45" i="17" s="1"/>
  <c r="J45" i="17" s="1"/>
  <c r="K45" i="17" s="1"/>
  <c r="L45" i="17" s="1"/>
  <c r="M45" i="17" s="1"/>
  <c r="N45" i="17" s="1"/>
  <c r="O45" i="17" s="1"/>
  <c r="P45" i="17" s="1"/>
  <c r="Q45" i="17" s="1"/>
  <c r="R45" i="17" s="1"/>
  <c r="D6" i="17"/>
  <c r="C85" i="17"/>
  <c r="D54" i="17"/>
  <c r="E5" i="17"/>
  <c r="F5" i="17" s="1"/>
  <c r="G5" i="17" s="1"/>
  <c r="H5" i="17" s="1"/>
  <c r="I5" i="17" s="1"/>
  <c r="J5" i="17" s="1"/>
  <c r="K5" i="17" s="1"/>
  <c r="L5" i="17" s="1"/>
  <c r="M5" i="17" s="1"/>
  <c r="N5" i="17" s="1"/>
  <c r="O5" i="17" s="1"/>
  <c r="P5" i="17" s="1"/>
  <c r="Q5" i="17" s="1"/>
  <c r="R5" i="17" s="1"/>
  <c r="G60" i="17"/>
  <c r="E32" i="17"/>
  <c r="F32" i="17" s="1"/>
  <c r="G32" i="17" s="1"/>
  <c r="H32" i="17" s="1"/>
  <c r="I32" i="17" s="1"/>
  <c r="J32" i="17" s="1"/>
  <c r="K32" i="17" s="1"/>
  <c r="L32" i="17" s="1"/>
  <c r="M32" i="17" s="1"/>
  <c r="N32" i="17" s="1"/>
  <c r="O32" i="17" s="1"/>
  <c r="P32" i="17" s="1"/>
  <c r="Q32" i="17" s="1"/>
  <c r="R32" i="17" s="1"/>
  <c r="E7" i="17"/>
  <c r="F7" i="17" s="1"/>
  <c r="G7" i="17" s="1"/>
  <c r="H7" i="17" s="1"/>
  <c r="I7" i="17" s="1"/>
  <c r="J7" i="17" s="1"/>
  <c r="K7" i="17" s="1"/>
  <c r="L7" i="17" s="1"/>
  <c r="M7" i="17" s="1"/>
  <c r="N7" i="17" s="1"/>
  <c r="O7" i="17" s="1"/>
  <c r="P7" i="17" s="1"/>
  <c r="Q7" i="17" s="1"/>
  <c r="R7" i="17" s="1"/>
  <c r="E17" i="17"/>
  <c r="F17" i="17" s="1"/>
  <c r="G17" i="17" s="1"/>
  <c r="H17" i="17" s="1"/>
  <c r="I17" i="17" s="1"/>
  <c r="J17" i="17" s="1"/>
  <c r="K17" i="17" s="1"/>
  <c r="L17" i="17" s="1"/>
  <c r="M17" i="17" s="1"/>
  <c r="N17" i="17" s="1"/>
  <c r="O17" i="17" s="1"/>
  <c r="P17" i="17" s="1"/>
  <c r="Q17" i="17" s="1"/>
  <c r="R17" i="17" s="1"/>
  <c r="E34" i="17"/>
  <c r="F34" i="17" s="1"/>
  <c r="G34" i="17" s="1"/>
  <c r="H34" i="17" s="1"/>
  <c r="I34" i="17" s="1"/>
  <c r="J34" i="17" s="1"/>
  <c r="K34" i="17" s="1"/>
  <c r="L34" i="17" s="1"/>
  <c r="M34" i="17" s="1"/>
  <c r="N34" i="17" s="1"/>
  <c r="O34" i="17" s="1"/>
  <c r="P34" i="17" s="1"/>
  <c r="Q34" i="17" s="1"/>
  <c r="R34" i="17" s="1"/>
  <c r="E21" i="17"/>
  <c r="F21" i="17" s="1"/>
  <c r="G21" i="17" s="1"/>
  <c r="H21" i="17" s="1"/>
  <c r="I21" i="17" s="1"/>
  <c r="J21" i="17" s="1"/>
  <c r="K21" i="17" s="1"/>
  <c r="L21" i="17" s="1"/>
  <c r="M21" i="17" s="1"/>
  <c r="N21" i="17" s="1"/>
  <c r="O21" i="17" s="1"/>
  <c r="P21" i="17" s="1"/>
  <c r="Q21" i="17" s="1"/>
  <c r="R21" i="17" s="1"/>
  <c r="G95" i="17"/>
  <c r="P95" i="17"/>
  <c r="R95" i="17"/>
  <c r="F95" i="17"/>
  <c r="Q95" i="17"/>
  <c r="E95" i="17"/>
  <c r="D95" i="17"/>
  <c r="O95" i="17"/>
  <c r="N95" i="17"/>
  <c r="L95" i="17"/>
  <c r="M95" i="17"/>
  <c r="K95" i="17"/>
  <c r="J95" i="17"/>
  <c r="I95" i="17"/>
  <c r="H95" i="17"/>
  <c r="E44" i="17"/>
  <c r="D46" i="17"/>
  <c r="K75" i="17"/>
  <c r="J76" i="17"/>
  <c r="I61" i="17"/>
  <c r="I115" i="17"/>
  <c r="H116" i="17"/>
  <c r="J52" i="17"/>
  <c r="H53" i="17"/>
  <c r="C357" i="14"/>
  <c r="C57" i="15"/>
  <c r="C72" i="15"/>
  <c r="B73" i="15"/>
  <c r="B58" i="15"/>
  <c r="C108" i="14"/>
  <c r="C55" i="14"/>
  <c r="C58" i="14" s="1"/>
  <c r="C372" i="14"/>
  <c r="C373" i="14" s="1"/>
  <c r="C150" i="14"/>
  <c r="C319" i="14"/>
  <c r="C234" i="14"/>
  <c r="C334" i="14"/>
  <c r="C249" i="14"/>
  <c r="C250" i="14" s="1"/>
  <c r="J89" i="18" l="1"/>
  <c r="K31" i="18"/>
  <c r="J36" i="18"/>
  <c r="J40" i="18" s="1"/>
  <c r="K86" i="18"/>
  <c r="L82" i="18"/>
  <c r="J4" i="18"/>
  <c r="I8" i="18"/>
  <c r="I12" i="18" s="1"/>
  <c r="K64" i="18"/>
  <c r="L60" i="18"/>
  <c r="R52" i="18"/>
  <c r="K122" i="18"/>
  <c r="J123" i="18"/>
  <c r="L76" i="18"/>
  <c r="M75" i="18"/>
  <c r="J16" i="18"/>
  <c r="I22" i="18"/>
  <c r="J100" i="18"/>
  <c r="J104" i="18" s="1"/>
  <c r="H12" i="18"/>
  <c r="H48" i="18" s="1"/>
  <c r="I40" i="18"/>
  <c r="L53" i="18"/>
  <c r="K56" i="18"/>
  <c r="N110" i="18"/>
  <c r="J71" i="18"/>
  <c r="J78" i="18" s="1"/>
  <c r="K69" i="18"/>
  <c r="L96" i="18"/>
  <c r="M92" i="18"/>
  <c r="I78" i="18"/>
  <c r="K44" i="18"/>
  <c r="J46" i="18"/>
  <c r="L111" i="18"/>
  <c r="K112" i="18"/>
  <c r="K116" i="18" s="1"/>
  <c r="K119" i="18" s="1"/>
  <c r="F96" i="17"/>
  <c r="F97" i="17" s="1"/>
  <c r="F100" i="17" s="1"/>
  <c r="C70" i="17"/>
  <c r="D56" i="17"/>
  <c r="C21" i="17"/>
  <c r="C33" i="17"/>
  <c r="C45" i="17"/>
  <c r="C94" i="17"/>
  <c r="E96" i="17"/>
  <c r="E97" i="17" s="1"/>
  <c r="E100" i="17" s="1"/>
  <c r="C7" i="17"/>
  <c r="H82" i="17"/>
  <c r="G86" i="17"/>
  <c r="G89" i="17" s="1"/>
  <c r="D96" i="17"/>
  <c r="D97" i="17" s="1"/>
  <c r="D100" i="17" s="1"/>
  <c r="E6" i="17"/>
  <c r="F6" i="17" s="1"/>
  <c r="G6" i="17" s="1"/>
  <c r="H6" i="17" s="1"/>
  <c r="I6" i="17" s="1"/>
  <c r="J6" i="17" s="1"/>
  <c r="K6" i="17" s="1"/>
  <c r="L6" i="17" s="1"/>
  <c r="M6" i="17" s="1"/>
  <c r="N6" i="17" s="1"/>
  <c r="O6" i="17" s="1"/>
  <c r="P6" i="17" s="1"/>
  <c r="Q6" i="17" s="1"/>
  <c r="R6" i="17" s="1"/>
  <c r="E36" i="17"/>
  <c r="E40" i="17" s="1"/>
  <c r="F31" i="17"/>
  <c r="F105" i="17"/>
  <c r="E107" i="17"/>
  <c r="C34" i="17"/>
  <c r="H60" i="17"/>
  <c r="C10" i="17"/>
  <c r="D65" i="17"/>
  <c r="C5" i="17"/>
  <c r="G16" i="17"/>
  <c r="E55" i="17"/>
  <c r="F55" i="17" s="1"/>
  <c r="G55" i="17" s="1"/>
  <c r="H55" i="17" s="1"/>
  <c r="I55" i="17" s="1"/>
  <c r="J55" i="17" s="1"/>
  <c r="K55" i="17" s="1"/>
  <c r="L55" i="17" s="1"/>
  <c r="M55" i="17" s="1"/>
  <c r="N55" i="17" s="1"/>
  <c r="O55" i="17" s="1"/>
  <c r="P55" i="17" s="1"/>
  <c r="Q55" i="17" s="1"/>
  <c r="R55" i="17" s="1"/>
  <c r="E18" i="17"/>
  <c r="F18" i="17" s="1"/>
  <c r="G18" i="17" s="1"/>
  <c r="H18" i="17" s="1"/>
  <c r="I18" i="17" s="1"/>
  <c r="J18" i="17" s="1"/>
  <c r="K18" i="17" s="1"/>
  <c r="L18" i="17" s="1"/>
  <c r="M18" i="17" s="1"/>
  <c r="N18" i="17" s="1"/>
  <c r="O18" i="17" s="1"/>
  <c r="P18" i="17" s="1"/>
  <c r="Q18" i="17" s="1"/>
  <c r="R18" i="17" s="1"/>
  <c r="C17" i="17"/>
  <c r="H92" i="17"/>
  <c r="G96" i="17"/>
  <c r="G97" i="17" s="1"/>
  <c r="G100" i="17" s="1"/>
  <c r="C109" i="17"/>
  <c r="D111" i="17"/>
  <c r="C20" i="17"/>
  <c r="F69" i="17"/>
  <c r="E71" i="17"/>
  <c r="C19" i="17"/>
  <c r="C84" i="17"/>
  <c r="E54" i="17"/>
  <c r="C35" i="17"/>
  <c r="D8" i="17"/>
  <c r="D12" i="17" s="1"/>
  <c r="E4" i="17"/>
  <c r="D62" i="17"/>
  <c r="F44" i="17"/>
  <c r="E46" i="17"/>
  <c r="E63" i="17"/>
  <c r="F63" i="17" s="1"/>
  <c r="G63" i="17" s="1"/>
  <c r="H63" i="17" s="1"/>
  <c r="I63" i="17" s="1"/>
  <c r="J63" i="17" s="1"/>
  <c r="K63" i="17" s="1"/>
  <c r="L63" i="17" s="1"/>
  <c r="M63" i="17" s="1"/>
  <c r="N63" i="17" s="1"/>
  <c r="O63" i="17" s="1"/>
  <c r="P63" i="17" s="1"/>
  <c r="Q63" i="17" s="1"/>
  <c r="R63" i="17" s="1"/>
  <c r="C95" i="17"/>
  <c r="C32" i="17"/>
  <c r="D86" i="17"/>
  <c r="D89" i="17" s="1"/>
  <c r="L75" i="17"/>
  <c r="K76" i="17"/>
  <c r="I53" i="17"/>
  <c r="J115" i="17"/>
  <c r="I116" i="17"/>
  <c r="K52" i="17"/>
  <c r="J61" i="17"/>
  <c r="C153" i="14"/>
  <c r="B5" i="15"/>
  <c r="B72" i="15" s="1"/>
  <c r="B4" i="15"/>
  <c r="L44" i="18" l="1"/>
  <c r="K46" i="18"/>
  <c r="M111" i="18"/>
  <c r="L112" i="18"/>
  <c r="L116" i="18" s="1"/>
  <c r="L119" i="18" s="1"/>
  <c r="L31" i="18"/>
  <c r="K36" i="18"/>
  <c r="K40" i="18" s="1"/>
  <c r="L64" i="18"/>
  <c r="M60" i="18"/>
  <c r="K71" i="18"/>
  <c r="L69" i="18"/>
  <c r="K16" i="18"/>
  <c r="J22" i="18"/>
  <c r="J27" i="18" s="1"/>
  <c r="J8" i="18"/>
  <c r="K4" i="18"/>
  <c r="M53" i="18"/>
  <c r="L56" i="18"/>
  <c r="L97" i="18"/>
  <c r="O110" i="18"/>
  <c r="M76" i="18"/>
  <c r="N75" i="18"/>
  <c r="K89" i="18"/>
  <c r="L122" i="18"/>
  <c r="K123" i="18"/>
  <c r="C52" i="18"/>
  <c r="M96" i="18"/>
  <c r="M97" i="18" s="1"/>
  <c r="M100" i="18" s="1"/>
  <c r="M104" i="18" s="1"/>
  <c r="N92" i="18"/>
  <c r="I27" i="18"/>
  <c r="I48" i="18" s="1"/>
  <c r="M82" i="18"/>
  <c r="L86" i="18"/>
  <c r="B7" i="15"/>
  <c r="B12" i="15" s="1"/>
  <c r="E119" i="17"/>
  <c r="C55" i="17"/>
  <c r="F22" i="17"/>
  <c r="D119" i="17"/>
  <c r="E22" i="17"/>
  <c r="C6" i="17"/>
  <c r="C63" i="17"/>
  <c r="C18" i="17"/>
  <c r="G22" i="17"/>
  <c r="H16" i="17"/>
  <c r="H86" i="17"/>
  <c r="H89" i="17" s="1"/>
  <c r="I82" i="17"/>
  <c r="E65" i="17"/>
  <c r="F65" i="17" s="1"/>
  <c r="G65" i="17" s="1"/>
  <c r="H65" i="17" s="1"/>
  <c r="I65" i="17" s="1"/>
  <c r="J65" i="17" s="1"/>
  <c r="K65" i="17" s="1"/>
  <c r="L65" i="17" s="1"/>
  <c r="M65" i="17" s="1"/>
  <c r="N65" i="17" s="1"/>
  <c r="O65" i="17" s="1"/>
  <c r="P65" i="17" s="1"/>
  <c r="Q65" i="17" s="1"/>
  <c r="R65" i="17" s="1"/>
  <c r="C65" i="17" s="1"/>
  <c r="F54" i="17"/>
  <c r="E56" i="17"/>
  <c r="D78" i="17"/>
  <c r="E62" i="17"/>
  <c r="D64" i="17"/>
  <c r="F71" i="17"/>
  <c r="G69" i="17"/>
  <c r="F4" i="17"/>
  <c r="E8" i="17"/>
  <c r="E12" i="17" s="1"/>
  <c r="G105" i="17"/>
  <c r="F107" i="17"/>
  <c r="E111" i="17"/>
  <c r="I60" i="17"/>
  <c r="G44" i="17"/>
  <c r="F46" i="17"/>
  <c r="H96" i="17"/>
  <c r="H97" i="17" s="1"/>
  <c r="H100" i="17" s="1"/>
  <c r="I92" i="17"/>
  <c r="F36" i="17"/>
  <c r="F40" i="17" s="1"/>
  <c r="G31" i="17"/>
  <c r="J53" i="17"/>
  <c r="K61" i="17"/>
  <c r="L52" i="17"/>
  <c r="J116" i="17"/>
  <c r="K115" i="17"/>
  <c r="M75" i="17"/>
  <c r="L76" i="17"/>
  <c r="B71" i="15"/>
  <c r="B56" i="15"/>
  <c r="B57" i="15"/>
  <c r="N82" i="18" l="1"/>
  <c r="M86" i="18"/>
  <c r="K78" i="18"/>
  <c r="M31" i="18"/>
  <c r="L36" i="18"/>
  <c r="M64" i="18"/>
  <c r="N60" i="18"/>
  <c r="N53" i="18"/>
  <c r="M56" i="18"/>
  <c r="L71" i="18"/>
  <c r="L78" i="18" s="1"/>
  <c r="M69" i="18"/>
  <c r="M122" i="18"/>
  <c r="L123" i="18"/>
  <c r="M44" i="18"/>
  <c r="L46" i="18"/>
  <c r="N96" i="18"/>
  <c r="O92" i="18"/>
  <c r="L100" i="18"/>
  <c r="L104" i="18" s="1"/>
  <c r="L89" i="18"/>
  <c r="K8" i="18"/>
  <c r="K12" i="18" s="1"/>
  <c r="L4" i="18"/>
  <c r="J12" i="18"/>
  <c r="J48" i="18" s="1"/>
  <c r="N76" i="18"/>
  <c r="O75" i="18"/>
  <c r="N111" i="18"/>
  <c r="M112" i="18"/>
  <c r="M116" i="18" s="1"/>
  <c r="M119" i="18" s="1"/>
  <c r="K22" i="18"/>
  <c r="K27" i="18" s="1"/>
  <c r="L16" i="18"/>
  <c r="P110" i="18"/>
  <c r="E78" i="17"/>
  <c r="H31" i="17"/>
  <c r="G36" i="17"/>
  <c r="G40" i="17" s="1"/>
  <c r="F119" i="17"/>
  <c r="F111" i="17"/>
  <c r="G46" i="17"/>
  <c r="H44" i="17"/>
  <c r="G54" i="17"/>
  <c r="F56" i="17"/>
  <c r="F78" i="17" s="1"/>
  <c r="J60" i="17"/>
  <c r="F62" i="17"/>
  <c r="E64" i="17"/>
  <c r="H105" i="17"/>
  <c r="G107" i="17"/>
  <c r="I96" i="17"/>
  <c r="I97" i="17" s="1"/>
  <c r="I100" i="17" s="1"/>
  <c r="J92" i="17"/>
  <c r="I86" i="17"/>
  <c r="I89" i="17" s="1"/>
  <c r="J82" i="17"/>
  <c r="F8" i="17"/>
  <c r="F12" i="17" s="1"/>
  <c r="G4" i="17"/>
  <c r="G71" i="17"/>
  <c r="H69" i="17"/>
  <c r="H22" i="17"/>
  <c r="I16" i="17"/>
  <c r="L61" i="17"/>
  <c r="M76" i="17"/>
  <c r="N75" i="17"/>
  <c r="K53" i="17"/>
  <c r="M52" i="17"/>
  <c r="K116" i="17"/>
  <c r="L115" i="17"/>
  <c r="B16" i="15"/>
  <c r="B20" i="15" s="1"/>
  <c r="K48" i="18" l="1"/>
  <c r="M71" i="18"/>
  <c r="M78" i="18" s="1"/>
  <c r="N69" i="18"/>
  <c r="O53" i="18"/>
  <c r="N56" i="18"/>
  <c r="L22" i="18"/>
  <c r="L27" i="18" s="1"/>
  <c r="M16" i="18"/>
  <c r="O96" i="18"/>
  <c r="O97" i="18" s="1"/>
  <c r="O100" i="18" s="1"/>
  <c r="O104" i="18" s="1"/>
  <c r="P92" i="18"/>
  <c r="N64" i="18"/>
  <c r="O60" i="18"/>
  <c r="O111" i="18"/>
  <c r="N112" i="18"/>
  <c r="N116" i="18" s="1"/>
  <c r="N119" i="18" s="1"/>
  <c r="N97" i="18"/>
  <c r="P75" i="18"/>
  <c r="O76" i="18"/>
  <c r="L40" i="18"/>
  <c r="N44" i="18"/>
  <c r="M46" i="18"/>
  <c r="N31" i="18"/>
  <c r="M36" i="18"/>
  <c r="M40" i="18" s="1"/>
  <c r="Q110" i="18"/>
  <c r="L8" i="18"/>
  <c r="L12" i="18" s="1"/>
  <c r="M4" i="18"/>
  <c r="N122" i="18"/>
  <c r="M123" i="18"/>
  <c r="M89" i="18"/>
  <c r="O82" i="18"/>
  <c r="N86" i="18"/>
  <c r="I22" i="17"/>
  <c r="J16" i="17"/>
  <c r="G62" i="17"/>
  <c r="F64" i="17"/>
  <c r="K60" i="17"/>
  <c r="G8" i="17"/>
  <c r="G12" i="17" s="1"/>
  <c r="H4" i="17"/>
  <c r="J86" i="17"/>
  <c r="J89" i="17" s="1"/>
  <c r="K82" i="17"/>
  <c r="I44" i="17"/>
  <c r="H46" i="17"/>
  <c r="H54" i="17"/>
  <c r="G56" i="17"/>
  <c r="G78" i="17" s="1"/>
  <c r="J96" i="17"/>
  <c r="J97" i="17" s="1"/>
  <c r="J100" i="17" s="1"/>
  <c r="K92" i="17"/>
  <c r="G119" i="17"/>
  <c r="G111" i="17"/>
  <c r="I105" i="17"/>
  <c r="H107" i="17"/>
  <c r="H36" i="17"/>
  <c r="H40" i="17" s="1"/>
  <c r="I31" i="17"/>
  <c r="I69" i="17"/>
  <c r="H71" i="17"/>
  <c r="N52" i="17"/>
  <c r="L116" i="17"/>
  <c r="M115" i="17"/>
  <c r="L53" i="17"/>
  <c r="N76" i="17"/>
  <c r="O75" i="17"/>
  <c r="M61" i="17"/>
  <c r="L48" i="18" l="1"/>
  <c r="O64" i="18"/>
  <c r="P60" i="18"/>
  <c r="N123" i="18"/>
  <c r="O122" i="18"/>
  <c r="M8" i="18"/>
  <c r="M12" i="18" s="1"/>
  <c r="N4" i="18"/>
  <c r="P96" i="18"/>
  <c r="P97" i="18" s="1"/>
  <c r="P100" i="18" s="1"/>
  <c r="P104" i="18" s="1"/>
  <c r="Q92" i="18"/>
  <c r="N16" i="18"/>
  <c r="M22" i="18"/>
  <c r="M27" i="18" s="1"/>
  <c r="R110" i="18"/>
  <c r="Q75" i="18"/>
  <c r="P76" i="18"/>
  <c r="O44" i="18"/>
  <c r="N46" i="18"/>
  <c r="N100" i="18"/>
  <c r="N104" i="18" s="1"/>
  <c r="P53" i="18"/>
  <c r="O56" i="18"/>
  <c r="N89" i="18"/>
  <c r="P82" i="18"/>
  <c r="O86" i="18"/>
  <c r="O31" i="18"/>
  <c r="N36" i="18"/>
  <c r="N40" i="18" s="1"/>
  <c r="N71" i="18"/>
  <c r="N78" i="18" s="1"/>
  <c r="O69" i="18"/>
  <c r="P111" i="18"/>
  <c r="O112" i="18"/>
  <c r="O116" i="18" s="1"/>
  <c r="O119" i="18" s="1"/>
  <c r="J31" i="17"/>
  <c r="I36" i="17"/>
  <c r="I40" i="17" s="1"/>
  <c r="I54" i="17"/>
  <c r="H56" i="17"/>
  <c r="H78" i="17" s="1"/>
  <c r="L82" i="17"/>
  <c r="K86" i="17"/>
  <c r="K89" i="17" s="1"/>
  <c r="H111" i="17"/>
  <c r="H119" i="17"/>
  <c r="H8" i="17"/>
  <c r="H12" i="17" s="1"/>
  <c r="I4" i="17"/>
  <c r="J105" i="17"/>
  <c r="I107" i="17"/>
  <c r="L60" i="17"/>
  <c r="K96" i="17"/>
  <c r="K97" i="17" s="1"/>
  <c r="K100" i="17" s="1"/>
  <c r="L92" i="17"/>
  <c r="H62" i="17"/>
  <c r="G64" i="17"/>
  <c r="K16" i="17"/>
  <c r="J22" i="17"/>
  <c r="J69" i="17"/>
  <c r="I71" i="17"/>
  <c r="I46" i="17"/>
  <c r="J44" i="17"/>
  <c r="O52" i="17"/>
  <c r="N61" i="17"/>
  <c r="M53" i="17"/>
  <c r="M116" i="17"/>
  <c r="N115" i="17"/>
  <c r="O76" i="17"/>
  <c r="P75" i="17"/>
  <c r="N22" i="18" l="1"/>
  <c r="N27" i="18" s="1"/>
  <c r="O16" i="18"/>
  <c r="Q53" i="18"/>
  <c r="P56" i="18"/>
  <c r="R92" i="18"/>
  <c r="Q96" i="18"/>
  <c r="Q97" i="18" s="1"/>
  <c r="Q100" i="18" s="1"/>
  <c r="Q104" i="18" s="1"/>
  <c r="C110" i="18"/>
  <c r="N8" i="18"/>
  <c r="N12" i="18" s="1"/>
  <c r="O4" i="18"/>
  <c r="M48" i="18"/>
  <c r="O123" i="18"/>
  <c r="P122" i="18"/>
  <c r="Q82" i="18"/>
  <c r="P86" i="18"/>
  <c r="Q111" i="18"/>
  <c r="P112" i="18"/>
  <c r="P116" i="18" s="1"/>
  <c r="P119" i="18" s="1"/>
  <c r="P69" i="18"/>
  <c r="O71" i="18"/>
  <c r="O78" i="18" s="1"/>
  <c r="P44" i="18"/>
  <c r="O46" i="18"/>
  <c r="P31" i="18"/>
  <c r="O36" i="18"/>
  <c r="O40" i="18" s="1"/>
  <c r="R75" i="18"/>
  <c r="Q76" i="18"/>
  <c r="O89" i="18"/>
  <c r="P64" i="18"/>
  <c r="Q60" i="18"/>
  <c r="I119" i="17"/>
  <c r="I111" i="17"/>
  <c r="J107" i="17"/>
  <c r="K105" i="17"/>
  <c r="J36" i="17"/>
  <c r="J40" i="17" s="1"/>
  <c r="K31" i="17"/>
  <c r="K22" i="17"/>
  <c r="L16" i="17"/>
  <c r="J4" i="17"/>
  <c r="I8" i="17"/>
  <c r="I12" i="17" s="1"/>
  <c r="L96" i="17"/>
  <c r="L97" i="17" s="1"/>
  <c r="L100" i="17" s="1"/>
  <c r="M92" i="17"/>
  <c r="J71" i="17"/>
  <c r="K69" i="17"/>
  <c r="I62" i="17"/>
  <c r="H64" i="17"/>
  <c r="M82" i="17"/>
  <c r="L86" i="17"/>
  <c r="L89" i="17" s="1"/>
  <c r="J46" i="17"/>
  <c r="K44" i="17"/>
  <c r="M60" i="17"/>
  <c r="J54" i="17"/>
  <c r="I56" i="17"/>
  <c r="I78" i="17" s="1"/>
  <c r="O61" i="17"/>
  <c r="P76" i="17"/>
  <c r="Q75" i="17"/>
  <c r="N53" i="17"/>
  <c r="N116" i="17"/>
  <c r="O115" i="17"/>
  <c r="P52" i="17"/>
  <c r="N48" i="18" l="1"/>
  <c r="Q44" i="18"/>
  <c r="P46" i="18"/>
  <c r="O8" i="18"/>
  <c r="O12" i="18" s="1"/>
  <c r="P4" i="18"/>
  <c r="Q69" i="18"/>
  <c r="P71" i="18"/>
  <c r="P78" i="18" s="1"/>
  <c r="P89" i="18"/>
  <c r="R96" i="18"/>
  <c r="C92" i="18"/>
  <c r="R82" i="18"/>
  <c r="Q86" i="18"/>
  <c r="Q64" i="18"/>
  <c r="R60" i="18"/>
  <c r="P123" i="18"/>
  <c r="Q122" i="18"/>
  <c r="R53" i="18"/>
  <c r="Q56" i="18"/>
  <c r="R76" i="18"/>
  <c r="C75" i="18"/>
  <c r="O22" i="18"/>
  <c r="O27" i="18" s="1"/>
  <c r="P16" i="18"/>
  <c r="P36" i="18"/>
  <c r="P40" i="18" s="1"/>
  <c r="Q31" i="18"/>
  <c r="R111" i="18"/>
  <c r="Q112" i="18"/>
  <c r="Q116" i="18" s="1"/>
  <c r="Q119" i="18" s="1"/>
  <c r="M16" i="17"/>
  <c r="L22" i="17"/>
  <c r="M96" i="17"/>
  <c r="M97" i="17" s="1"/>
  <c r="M100" i="17" s="1"/>
  <c r="N92" i="17"/>
  <c r="K36" i="17"/>
  <c r="K40" i="17" s="1"/>
  <c r="L31" i="17"/>
  <c r="K54" i="17"/>
  <c r="J56" i="17"/>
  <c r="N60" i="17"/>
  <c r="K46" i="17"/>
  <c r="L44" i="17"/>
  <c r="K4" i="17"/>
  <c r="J8" i="17"/>
  <c r="J12" i="17" s="1"/>
  <c r="K107" i="17"/>
  <c r="L105" i="17"/>
  <c r="L69" i="17"/>
  <c r="K71" i="17"/>
  <c r="J119" i="17"/>
  <c r="J111" i="17"/>
  <c r="J78" i="17"/>
  <c r="N82" i="17"/>
  <c r="M86" i="17"/>
  <c r="M89" i="17" s="1"/>
  <c r="J62" i="17"/>
  <c r="I64" i="17"/>
  <c r="O53" i="17"/>
  <c r="P61" i="17"/>
  <c r="Q52" i="17"/>
  <c r="Q76" i="17"/>
  <c r="R75" i="17"/>
  <c r="O116" i="17"/>
  <c r="P115" i="17"/>
  <c r="Q89" i="18" l="1"/>
  <c r="Q16" i="18"/>
  <c r="P22" i="18"/>
  <c r="P27" i="18" s="1"/>
  <c r="R86" i="18"/>
  <c r="C82" i="18"/>
  <c r="R97" i="18"/>
  <c r="C96" i="18"/>
  <c r="Q123" i="18"/>
  <c r="R122" i="18"/>
  <c r="R69" i="18"/>
  <c r="Q71" i="18"/>
  <c r="Q78" i="18" s="1"/>
  <c r="R56" i="18"/>
  <c r="C56" i="18" s="1"/>
  <c r="C53" i="18"/>
  <c r="Q4" i="18"/>
  <c r="P8" i="18"/>
  <c r="P12" i="18" s="1"/>
  <c r="O48" i="18"/>
  <c r="C76" i="18"/>
  <c r="C111" i="18"/>
  <c r="R112" i="18"/>
  <c r="R64" i="18"/>
  <c r="C64" i="18" s="1"/>
  <c r="C60" i="18"/>
  <c r="Q36" i="18"/>
  <c r="Q40" i="18" s="1"/>
  <c r="R31" i="18"/>
  <c r="Q46" i="18"/>
  <c r="R44" i="18"/>
  <c r="M31" i="17"/>
  <c r="L36" i="17"/>
  <c r="L40" i="17" s="1"/>
  <c r="N86" i="17"/>
  <c r="N89" i="17" s="1"/>
  <c r="O82" i="17"/>
  <c r="O60" i="17"/>
  <c r="L54" i="17"/>
  <c r="K56" i="17"/>
  <c r="K78" i="17" s="1"/>
  <c r="O92" i="17"/>
  <c r="N96" i="17"/>
  <c r="N97" i="17" s="1"/>
  <c r="N100" i="17" s="1"/>
  <c r="M69" i="17"/>
  <c r="L71" i="17"/>
  <c r="K119" i="17"/>
  <c r="K111" i="17"/>
  <c r="L107" i="17"/>
  <c r="M105" i="17"/>
  <c r="L4" i="17"/>
  <c r="K8" i="17"/>
  <c r="K12" i="17" s="1"/>
  <c r="K62" i="17"/>
  <c r="J64" i="17"/>
  <c r="M44" i="17"/>
  <c r="L46" i="17"/>
  <c r="M22" i="17"/>
  <c r="N16" i="17"/>
  <c r="Q61" i="17"/>
  <c r="R76" i="17"/>
  <c r="C75" i="17"/>
  <c r="R52" i="17"/>
  <c r="P53" i="17"/>
  <c r="P116" i="17"/>
  <c r="Q115" i="17"/>
  <c r="P48" i="18" l="1"/>
  <c r="R71" i="18"/>
  <c r="C69" i="18"/>
  <c r="R123" i="18"/>
  <c r="C123" i="18" s="1"/>
  <c r="C122" i="18"/>
  <c r="R116" i="18"/>
  <c r="R119" i="18" s="1"/>
  <c r="C112" i="18"/>
  <c r="C116" i="18" s="1"/>
  <c r="C119" i="18" s="1"/>
  <c r="R100" i="18"/>
  <c r="R104" i="18" s="1"/>
  <c r="C97" i="18"/>
  <c r="C100" i="18" s="1"/>
  <c r="C104" i="18" s="1"/>
  <c r="R89" i="18"/>
  <c r="C86" i="18"/>
  <c r="C89" i="18" s="1"/>
  <c r="R46" i="18"/>
  <c r="C46" i="18" s="1"/>
  <c r="C44" i="18"/>
  <c r="R4" i="18"/>
  <c r="Q8" i="18"/>
  <c r="Q12" i="18" s="1"/>
  <c r="Q22" i="18"/>
  <c r="Q27" i="18" s="1"/>
  <c r="R16" i="18"/>
  <c r="R36" i="18"/>
  <c r="C31" i="18"/>
  <c r="N69" i="17"/>
  <c r="M71" i="17"/>
  <c r="M46" i="17"/>
  <c r="N44" i="17"/>
  <c r="P92" i="17"/>
  <c r="O96" i="17"/>
  <c r="O97" i="17" s="1"/>
  <c r="O100" i="17" s="1"/>
  <c r="L62" i="17"/>
  <c r="K64" i="17"/>
  <c r="L8" i="17"/>
  <c r="L12" i="17" s="1"/>
  <c r="M4" i="17"/>
  <c r="P82" i="17"/>
  <c r="O86" i="17"/>
  <c r="O89" i="17" s="1"/>
  <c r="M54" i="17"/>
  <c r="L56" i="17"/>
  <c r="L78" i="17" s="1"/>
  <c r="P60" i="17"/>
  <c r="M107" i="17"/>
  <c r="N105" i="17"/>
  <c r="L119" i="17"/>
  <c r="L111" i="17"/>
  <c r="N22" i="17"/>
  <c r="O16" i="17"/>
  <c r="N31" i="17"/>
  <c r="M36" i="17"/>
  <c r="M40" i="17" s="1"/>
  <c r="C76" i="17"/>
  <c r="Q116" i="17"/>
  <c r="R115" i="17"/>
  <c r="R61" i="17"/>
  <c r="Q53" i="17"/>
  <c r="C52" i="17"/>
  <c r="C131" i="18" l="1"/>
  <c r="Q48" i="18"/>
  <c r="R22" i="18"/>
  <c r="C16" i="18"/>
  <c r="R8" i="18"/>
  <c r="C4" i="18"/>
  <c r="R40" i="18"/>
  <c r="C36" i="18"/>
  <c r="C40" i="18" s="1"/>
  <c r="C71" i="18"/>
  <c r="C78" i="18" s="1"/>
  <c r="R78" i="18"/>
  <c r="P86" i="17"/>
  <c r="P89" i="17" s="1"/>
  <c r="Q82" i="17"/>
  <c r="N4" i="17"/>
  <c r="M8" i="17"/>
  <c r="M12" i="17" s="1"/>
  <c r="M62" i="17"/>
  <c r="L64" i="17"/>
  <c r="N107" i="17"/>
  <c r="O105" i="17"/>
  <c r="M119" i="17"/>
  <c r="M111" i="17"/>
  <c r="P96" i="17"/>
  <c r="P97" i="17" s="1"/>
  <c r="P100" i="17" s="1"/>
  <c r="Q92" i="17"/>
  <c r="O44" i="17"/>
  <c r="N46" i="17"/>
  <c r="Q60" i="17"/>
  <c r="O31" i="17"/>
  <c r="N36" i="17"/>
  <c r="N40" i="17" s="1"/>
  <c r="N54" i="17"/>
  <c r="M56" i="17"/>
  <c r="M78" i="17" s="1"/>
  <c r="O69" i="17"/>
  <c r="N71" i="17"/>
  <c r="P16" i="17"/>
  <c r="O22" i="17"/>
  <c r="R53" i="17"/>
  <c r="C61" i="17"/>
  <c r="R116" i="17"/>
  <c r="C116" i="17" s="1"/>
  <c r="C115" i="17"/>
  <c r="R12" i="18" l="1"/>
  <c r="C8" i="18"/>
  <c r="C12" i="18" s="1"/>
  <c r="R27" i="18"/>
  <c r="C22" i="18"/>
  <c r="C27" i="18" s="1"/>
  <c r="N62" i="17"/>
  <c r="M64" i="17"/>
  <c r="N78" i="17"/>
  <c r="O71" i="17"/>
  <c r="P69" i="17"/>
  <c r="O107" i="17"/>
  <c r="P105" i="17"/>
  <c r="N119" i="17"/>
  <c r="N111" i="17"/>
  <c r="P31" i="17"/>
  <c r="O36" i="17"/>
  <c r="O40" i="17" s="1"/>
  <c r="O54" i="17"/>
  <c r="N56" i="17"/>
  <c r="R60" i="17"/>
  <c r="C60" i="17"/>
  <c r="N8" i="17"/>
  <c r="N12" i="17" s="1"/>
  <c r="O4" i="17"/>
  <c r="P44" i="17"/>
  <c r="O46" i="17"/>
  <c r="Q86" i="17"/>
  <c r="Q89" i="17" s="1"/>
  <c r="R82" i="17"/>
  <c r="Q16" i="17"/>
  <c r="P22" i="17"/>
  <c r="Q96" i="17"/>
  <c r="R92" i="17"/>
  <c r="R96" i="17" s="1"/>
  <c r="R97" i="17" s="1"/>
  <c r="R100" i="17" s="1"/>
  <c r="C92" i="17"/>
  <c r="C53" i="17"/>
  <c r="R48" i="18" l="1"/>
  <c r="C48" i="18"/>
  <c r="C130" i="18" s="1"/>
  <c r="C132" i="18" s="1"/>
  <c r="R86" i="17"/>
  <c r="R89" i="17" s="1"/>
  <c r="C82" i="17"/>
  <c r="P36" i="17"/>
  <c r="P40" i="17" s="1"/>
  <c r="Q31" i="17"/>
  <c r="Q22" i="17"/>
  <c r="R16" i="17"/>
  <c r="R22" i="17" s="1"/>
  <c r="P46" i="17"/>
  <c r="Q44" i="17"/>
  <c r="P107" i="17"/>
  <c r="Q105" i="17"/>
  <c r="P4" i="17"/>
  <c r="O8" i="17"/>
  <c r="O12" i="17" s="1"/>
  <c r="O119" i="17"/>
  <c r="O111" i="17"/>
  <c r="P71" i="17"/>
  <c r="Q69" i="17"/>
  <c r="O62" i="17"/>
  <c r="N64" i="17"/>
  <c r="Q97" i="17"/>
  <c r="C96" i="17"/>
  <c r="P54" i="17"/>
  <c r="O56" i="17"/>
  <c r="O78" i="17" s="1"/>
  <c r="C97" i="17" l="1"/>
  <c r="C100" i="17" s="1"/>
  <c r="Q100" i="17"/>
  <c r="P119" i="17"/>
  <c r="P111" i="17"/>
  <c r="R44" i="17"/>
  <c r="Q46" i="17"/>
  <c r="P62" i="17"/>
  <c r="O64" i="17"/>
  <c r="R69" i="17"/>
  <c r="R71" i="17" s="1"/>
  <c r="Q71" i="17"/>
  <c r="Q36" i="17"/>
  <c r="R31" i="17"/>
  <c r="P8" i="17"/>
  <c r="Q4" i="17"/>
  <c r="Q54" i="17"/>
  <c r="P56" i="17"/>
  <c r="P78" i="17" s="1"/>
  <c r="C22" i="17"/>
  <c r="C16" i="17"/>
  <c r="R105" i="17"/>
  <c r="Q107" i="17"/>
  <c r="C86" i="17"/>
  <c r="C89" i="17" s="1"/>
  <c r="R107" i="17" l="1"/>
  <c r="C105" i="17"/>
  <c r="R36" i="17"/>
  <c r="R40" i="17" s="1"/>
  <c r="C31" i="17"/>
  <c r="Q40" i="17"/>
  <c r="C69" i="17"/>
  <c r="C71" i="17"/>
  <c r="Q62" i="17"/>
  <c r="P64" i="17"/>
  <c r="R46" i="17"/>
  <c r="C46" i="17" s="1"/>
  <c r="C44" i="17"/>
  <c r="R4" i="17"/>
  <c r="Q8" i="17"/>
  <c r="Q12" i="17" s="1"/>
  <c r="Q119" i="17"/>
  <c r="Q111" i="17"/>
  <c r="R54" i="17"/>
  <c r="Q56" i="17"/>
  <c r="Q78" i="17" s="1"/>
  <c r="P12" i="17"/>
  <c r="C36" i="17" l="1"/>
  <c r="C40" i="17" s="1"/>
  <c r="R62" i="17"/>
  <c r="Q64" i="17"/>
  <c r="C54" i="17"/>
  <c r="R56" i="17"/>
  <c r="R8" i="17"/>
  <c r="R12" i="17" s="1"/>
  <c r="C4" i="17"/>
  <c r="C107" i="17"/>
  <c r="C111" i="17" s="1"/>
  <c r="R111" i="17"/>
  <c r="R119" i="17"/>
  <c r="C119" i="17" l="1"/>
  <c r="C124" i="17" s="1"/>
  <c r="C56" i="17"/>
  <c r="C78" i="17" s="1"/>
  <c r="R78" i="17"/>
  <c r="C62" i="17"/>
  <c r="R64" i="17"/>
  <c r="C64" i="17" s="1"/>
  <c r="C8" i="17"/>
  <c r="C12" i="17" s="1"/>
  <c r="N55" i="8" l="1"/>
  <c r="O55" i="8"/>
  <c r="P55" i="8"/>
  <c r="Q55" i="8"/>
  <c r="R55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29" i="7"/>
  <c r="D30" i="7" s="1"/>
  <c r="D57" i="8" s="1"/>
  <c r="C28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H26" i="5"/>
  <c r="H27" i="5" s="1"/>
  <c r="E26" i="5"/>
  <c r="F26" i="5" s="1"/>
  <c r="N39" i="3"/>
  <c r="M55" i="8" s="1"/>
  <c r="M39" i="3"/>
  <c r="L55" i="8" s="1"/>
  <c r="L39" i="3"/>
  <c r="K55" i="8" s="1"/>
  <c r="K39" i="3"/>
  <c r="J55" i="8" s="1"/>
  <c r="J39" i="3"/>
  <c r="I55" i="8" s="1"/>
  <c r="D39" i="3"/>
  <c r="C38" i="3"/>
  <c r="C36" i="3"/>
  <c r="E29" i="7" l="1"/>
  <c r="E30" i="7" l="1"/>
  <c r="E57" i="8" s="1"/>
  <c r="F29" i="7"/>
  <c r="F30" i="7" l="1"/>
  <c r="F57" i="8" s="1"/>
  <c r="G29" i="7"/>
  <c r="H29" i="7" l="1"/>
  <c r="G30" i="7"/>
  <c r="G57" i="8" s="1"/>
  <c r="N22" i="8"/>
  <c r="O22" i="8"/>
  <c r="P22" i="8"/>
  <c r="Q22" i="8"/>
  <c r="R22" i="8"/>
  <c r="N44" i="8"/>
  <c r="O44" i="8"/>
  <c r="P44" i="8"/>
  <c r="Q44" i="8"/>
  <c r="R44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D23" i="7"/>
  <c r="D46" i="8" s="1"/>
  <c r="D17" i="7"/>
  <c r="E17" i="7" s="1"/>
  <c r="F17" i="7" s="1"/>
  <c r="G17" i="7" s="1"/>
  <c r="H17" i="7" s="1"/>
  <c r="I17" i="7" s="1"/>
  <c r="J17" i="7" s="1"/>
  <c r="K17" i="7" s="1"/>
  <c r="L17" i="7" s="1"/>
  <c r="M17" i="7" s="1"/>
  <c r="N17" i="7" s="1"/>
  <c r="O17" i="7" s="1"/>
  <c r="P17" i="7" s="1"/>
  <c r="Q17" i="7" s="1"/>
  <c r="R17" i="7" s="1"/>
  <c r="D11" i="7"/>
  <c r="E11" i="7" s="1"/>
  <c r="F11" i="7" s="1"/>
  <c r="G11" i="7" s="1"/>
  <c r="H11" i="7" s="1"/>
  <c r="I11" i="7" s="1"/>
  <c r="J11" i="7" s="1"/>
  <c r="K11" i="7" s="1"/>
  <c r="L11" i="7" s="1"/>
  <c r="M11" i="7" s="1"/>
  <c r="N11" i="7" s="1"/>
  <c r="O11" i="7" s="1"/>
  <c r="P11" i="7" s="1"/>
  <c r="Q11" i="7" s="1"/>
  <c r="R11" i="7" s="1"/>
  <c r="D5" i="7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C22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H21" i="5"/>
  <c r="H22" i="5" s="1"/>
  <c r="E21" i="5"/>
  <c r="F21" i="5" s="1"/>
  <c r="N31" i="3"/>
  <c r="M44" i="8" s="1"/>
  <c r="M31" i="3"/>
  <c r="L44" i="8" s="1"/>
  <c r="L31" i="3"/>
  <c r="K44" i="8" s="1"/>
  <c r="K31" i="3"/>
  <c r="J44" i="8" s="1"/>
  <c r="J31" i="3"/>
  <c r="I44" i="8" s="1"/>
  <c r="F31" i="3"/>
  <c r="E44" i="8" s="1"/>
  <c r="D31" i="3"/>
  <c r="C30" i="3"/>
  <c r="C28" i="3"/>
  <c r="D15" i="3"/>
  <c r="E23" i="7" l="1"/>
  <c r="D24" i="7"/>
  <c r="I29" i="7"/>
  <c r="H30" i="7"/>
  <c r="H57" i="8" s="1"/>
  <c r="D56" i="8" l="1"/>
  <c r="E56" i="8"/>
  <c r="E24" i="7"/>
  <c r="F23" i="7"/>
  <c r="E46" i="8"/>
  <c r="J29" i="7"/>
  <c r="I30" i="7"/>
  <c r="I57" i="8" s="1"/>
  <c r="F56" i="8" l="1"/>
  <c r="F46" i="8"/>
  <c r="G23" i="7"/>
  <c r="F24" i="7"/>
  <c r="J30" i="7"/>
  <c r="J57" i="8" s="1"/>
  <c r="K29" i="7"/>
  <c r="D45" i="8" l="1"/>
  <c r="G56" i="8"/>
  <c r="G46" i="8"/>
  <c r="G24" i="7"/>
  <c r="H23" i="7"/>
  <c r="K30" i="7"/>
  <c r="K57" i="8" s="1"/>
  <c r="L29" i="7"/>
  <c r="E45" i="8" l="1"/>
  <c r="E48" i="8" s="1"/>
  <c r="H56" i="8"/>
  <c r="I23" i="7"/>
  <c r="H46" i="8"/>
  <c r="H24" i="7"/>
  <c r="M29" i="7"/>
  <c r="L30" i="7"/>
  <c r="L57" i="8" s="1"/>
  <c r="D28" i="15" l="1"/>
  <c r="D4" i="15"/>
  <c r="D7" i="15" s="1"/>
  <c r="D12" i="15" s="1"/>
  <c r="F45" i="8"/>
  <c r="I56" i="8"/>
  <c r="I59" i="8" s="1"/>
  <c r="J23" i="7"/>
  <c r="I46" i="8"/>
  <c r="I24" i="7"/>
  <c r="N29" i="7"/>
  <c r="M30" i="7"/>
  <c r="M57" i="8" s="1"/>
  <c r="F12" i="15" l="1"/>
  <c r="D31" i="15"/>
  <c r="D36" i="15" s="1"/>
  <c r="D48" i="15" s="1"/>
  <c r="C71" i="15"/>
  <c r="C56" i="15"/>
  <c r="G45" i="8"/>
  <c r="J56" i="8"/>
  <c r="J59" i="8" s="1"/>
  <c r="J46" i="8"/>
  <c r="K23" i="7"/>
  <c r="J24" i="7"/>
  <c r="O29" i="7"/>
  <c r="N30" i="7"/>
  <c r="N57" i="8" s="1"/>
  <c r="D41" i="15" l="1"/>
  <c r="D45" i="15" s="1"/>
  <c r="C75" i="15"/>
  <c r="C59" i="15"/>
  <c r="C60" i="15" s="1"/>
  <c r="C61" i="15" s="1"/>
  <c r="D16" i="15"/>
  <c r="D9" i="15"/>
  <c r="D10" i="15" s="1"/>
  <c r="H45" i="8"/>
  <c r="K56" i="8"/>
  <c r="K59" i="8" s="1"/>
  <c r="K46" i="8"/>
  <c r="L23" i="7"/>
  <c r="K24" i="7"/>
  <c r="O30" i="7"/>
  <c r="O57" i="8" s="1"/>
  <c r="P29" i="7"/>
  <c r="D17" i="15" l="1"/>
  <c r="D18" i="15" s="1"/>
  <c r="D20" i="15"/>
  <c r="C76" i="15"/>
  <c r="I45" i="8"/>
  <c r="I48" i="8" s="1"/>
  <c r="L56" i="8"/>
  <c r="L59" i="8" s="1"/>
  <c r="L46" i="8"/>
  <c r="M23" i="7"/>
  <c r="L24" i="7"/>
  <c r="P30" i="7"/>
  <c r="P57" i="8" s="1"/>
  <c r="Q29" i="7"/>
  <c r="F20" i="15" l="1"/>
  <c r="D49" i="15"/>
  <c r="J45" i="8"/>
  <c r="J48" i="8" s="1"/>
  <c r="M56" i="8"/>
  <c r="M59" i="8" s="1"/>
  <c r="M46" i="8"/>
  <c r="M24" i="7"/>
  <c r="N23" i="7"/>
  <c r="Q30" i="7"/>
  <c r="Q57" i="8" s="1"/>
  <c r="R29" i="7"/>
  <c r="K45" i="8" l="1"/>
  <c r="K48" i="8" s="1"/>
  <c r="N56" i="8"/>
  <c r="N59" i="8" s="1"/>
  <c r="N46" i="8"/>
  <c r="O23" i="7"/>
  <c r="N24" i="7"/>
  <c r="R30" i="7"/>
  <c r="C29" i="7"/>
  <c r="L45" i="8" l="1"/>
  <c r="L48" i="8" s="1"/>
  <c r="O56" i="8"/>
  <c r="O59" i="8" s="1"/>
  <c r="C30" i="7"/>
  <c r="R57" i="8"/>
  <c r="C57" i="8" s="1"/>
  <c r="O46" i="8"/>
  <c r="O24" i="7"/>
  <c r="P23" i="7"/>
  <c r="M45" i="8" l="1"/>
  <c r="M48" i="8" s="1"/>
  <c r="P46" i="8"/>
  <c r="Q23" i="7"/>
  <c r="P24" i="7"/>
  <c r="N45" i="8" l="1"/>
  <c r="N48" i="8" s="1"/>
  <c r="P56" i="8"/>
  <c r="R56" i="8"/>
  <c r="Q56" i="8"/>
  <c r="Q59" i="8" s="1"/>
  <c r="Q46" i="8"/>
  <c r="R23" i="7"/>
  <c r="Q24" i="7"/>
  <c r="O45" i="8" l="1"/>
  <c r="O48" i="8" s="1"/>
  <c r="P59" i="8"/>
  <c r="C56" i="8"/>
  <c r="R46" i="8"/>
  <c r="C46" i="8" s="1"/>
  <c r="R24" i="7"/>
  <c r="C24" i="7" s="1"/>
  <c r="C23" i="7"/>
  <c r="P45" i="8" l="1"/>
  <c r="P48" i="8" s="1"/>
  <c r="H16" i="5"/>
  <c r="Q45" i="8" l="1"/>
  <c r="R45" i="8" l="1"/>
  <c r="Q48" i="8"/>
  <c r="C45" i="8"/>
  <c r="AG4" i="10" l="1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AF14" i="10"/>
  <c r="I14" i="10" l="1"/>
  <c r="I15" i="10" s="1"/>
  <c r="Y14" i="10"/>
  <c r="Y15" i="10" s="1"/>
  <c r="Q14" i="10"/>
  <c r="Q15" i="10" s="1"/>
  <c r="AG14" i="10"/>
  <c r="AG15" i="10" s="1"/>
  <c r="S14" i="10"/>
  <c r="S15" i="10" s="1"/>
  <c r="R14" i="10"/>
  <c r="R15" i="10" s="1"/>
  <c r="L14" i="10"/>
  <c r="L15" i="10" s="1"/>
  <c r="T14" i="10"/>
  <c r="T15" i="10" s="1"/>
  <c r="AB14" i="10"/>
  <c r="AB15" i="10" s="1"/>
  <c r="Z14" i="10"/>
  <c r="Z15" i="10" s="1"/>
  <c r="E14" i="10"/>
  <c r="E15" i="10" s="1"/>
  <c r="M14" i="10"/>
  <c r="M15" i="10" s="1"/>
  <c r="U14" i="10"/>
  <c r="U15" i="10" s="1"/>
  <c r="AC14" i="10"/>
  <c r="AC15" i="10" s="1"/>
  <c r="AA14" i="10"/>
  <c r="AA15" i="10" s="1"/>
  <c r="F14" i="10"/>
  <c r="F15" i="10" s="1"/>
  <c r="N14" i="10"/>
  <c r="N15" i="10" s="1"/>
  <c r="V14" i="10"/>
  <c r="V15" i="10" s="1"/>
  <c r="AD14" i="10"/>
  <c r="AD15" i="10" s="1"/>
  <c r="J14" i="10"/>
  <c r="J15" i="10" s="1"/>
  <c r="K14" i="10"/>
  <c r="K15" i="10" s="1"/>
  <c r="G14" i="10"/>
  <c r="G15" i="10" s="1"/>
  <c r="O14" i="10"/>
  <c r="O15" i="10" s="1"/>
  <c r="W14" i="10"/>
  <c r="W15" i="10" s="1"/>
  <c r="AE14" i="10"/>
  <c r="AE15" i="10" s="1"/>
  <c r="D14" i="10"/>
  <c r="D15" i="10" s="1"/>
  <c r="H14" i="10"/>
  <c r="H15" i="10" s="1"/>
  <c r="P14" i="10"/>
  <c r="P15" i="10" s="1"/>
  <c r="X14" i="10"/>
  <c r="X15" i="10" s="1"/>
  <c r="AF15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D13" i="10" s="1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AG34" i="9"/>
  <c r="C34" i="9" s="1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R33" i="8"/>
  <c r="Q33" i="8"/>
  <c r="P33" i="8"/>
  <c r="O33" i="8"/>
  <c r="N33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R18" i="7"/>
  <c r="R35" i="8" s="1"/>
  <c r="Q18" i="7"/>
  <c r="Q35" i="8" s="1"/>
  <c r="P18" i="7"/>
  <c r="P35" i="8" s="1"/>
  <c r="O18" i="7"/>
  <c r="O35" i="8" s="1"/>
  <c r="N18" i="7"/>
  <c r="N35" i="8" s="1"/>
  <c r="M18" i="7"/>
  <c r="M35" i="8" s="1"/>
  <c r="L18" i="7"/>
  <c r="L35" i="8" s="1"/>
  <c r="K18" i="7"/>
  <c r="K35" i="8" s="1"/>
  <c r="J18" i="7"/>
  <c r="J35" i="8" s="1"/>
  <c r="I18" i="7"/>
  <c r="I35" i="8" s="1"/>
  <c r="H18" i="7"/>
  <c r="H35" i="8" s="1"/>
  <c r="G18" i="7"/>
  <c r="G35" i="8" s="1"/>
  <c r="F18" i="7"/>
  <c r="F35" i="8" s="1"/>
  <c r="E18" i="7"/>
  <c r="E35" i="8" s="1"/>
  <c r="D18" i="7"/>
  <c r="D35" i="8" s="1"/>
  <c r="C17" i="7"/>
  <c r="C16" i="7"/>
  <c r="E16" i="5"/>
  <c r="F16" i="5" s="1"/>
  <c r="G15" i="5"/>
  <c r="C22" i="3"/>
  <c r="G20" i="5" s="1"/>
  <c r="G22" i="5" s="1"/>
  <c r="R47" i="8" s="1"/>
  <c r="C20" i="3"/>
  <c r="C47" i="8" l="1"/>
  <c r="R48" i="8"/>
  <c r="C35" i="8"/>
  <c r="C18" i="7"/>
  <c r="C11" i="9"/>
  <c r="C33" i="9"/>
  <c r="C14" i="10"/>
  <c r="C1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F32" i="9"/>
  <c r="D32" i="9"/>
  <c r="E32" i="9"/>
  <c r="G17" i="5"/>
  <c r="R36" i="8" s="1"/>
  <c r="C36" i="8" s="1"/>
  <c r="N23" i="3"/>
  <c r="M23" i="3"/>
  <c r="L23" i="3"/>
  <c r="K23" i="3"/>
  <c r="J23" i="3"/>
  <c r="D23" i="3"/>
  <c r="E6" i="5"/>
  <c r="F6" i="5" s="1"/>
  <c r="R11" i="8"/>
  <c r="Q11" i="8"/>
  <c r="P11" i="8"/>
  <c r="O11" i="8"/>
  <c r="N11" i="8"/>
  <c r="R12" i="7"/>
  <c r="Q12" i="7"/>
  <c r="P12" i="7"/>
  <c r="O12" i="7"/>
  <c r="N12" i="7"/>
  <c r="M12" i="7"/>
  <c r="L12" i="7"/>
  <c r="K12" i="7"/>
  <c r="J12" i="7"/>
  <c r="I12" i="7"/>
  <c r="G13" i="8"/>
  <c r="H12" i="7"/>
  <c r="Q6" i="7"/>
  <c r="K6" i="7"/>
  <c r="I6" i="7"/>
  <c r="C4" i="3"/>
  <c r="G5" i="5" s="1"/>
  <c r="C5" i="3"/>
  <c r="C6" i="3"/>
  <c r="E7" i="3"/>
  <c r="D11" i="8" s="1"/>
  <c r="F7" i="3"/>
  <c r="G7" i="3"/>
  <c r="H7" i="3"/>
  <c r="I7" i="3"/>
  <c r="J7" i="3"/>
  <c r="K7" i="3"/>
  <c r="L7" i="3"/>
  <c r="M7" i="3"/>
  <c r="N7" i="3"/>
  <c r="D7" i="3"/>
  <c r="C3" i="3"/>
  <c r="R13" i="8"/>
  <c r="Q13" i="8"/>
  <c r="P13" i="8"/>
  <c r="O13" i="8"/>
  <c r="N13" i="8"/>
  <c r="M13" i="8"/>
  <c r="L13" i="8"/>
  <c r="K13" i="8"/>
  <c r="J13" i="8"/>
  <c r="I13" i="8"/>
  <c r="H13" i="8"/>
  <c r="F13" i="8"/>
  <c r="D13" i="8"/>
  <c r="E11" i="5"/>
  <c r="F11" i="5" s="1"/>
  <c r="N15" i="3"/>
  <c r="M22" i="8" s="1"/>
  <c r="M15" i="3"/>
  <c r="L22" i="8" s="1"/>
  <c r="L15" i="3"/>
  <c r="K22" i="8" s="1"/>
  <c r="K15" i="3"/>
  <c r="J22" i="8" s="1"/>
  <c r="J15" i="3"/>
  <c r="I22" i="8" s="1"/>
  <c r="C14" i="3"/>
  <c r="C12" i="3"/>
  <c r="G10" i="5" s="1"/>
  <c r="G32" i="9" l="1"/>
  <c r="G6" i="5"/>
  <c r="H6" i="5" s="1"/>
  <c r="C4" i="10"/>
  <c r="D5" i="10"/>
  <c r="C5" i="10" s="1"/>
  <c r="I20" i="9"/>
  <c r="J20" i="9"/>
  <c r="K20" i="9"/>
  <c r="L20" i="9"/>
  <c r="M20" i="9"/>
  <c r="M11" i="8"/>
  <c r="M9" i="9"/>
  <c r="L11" i="8"/>
  <c r="L9" i="9"/>
  <c r="K11" i="8"/>
  <c r="K9" i="9"/>
  <c r="J11" i="8"/>
  <c r="J9" i="9"/>
  <c r="I11" i="8"/>
  <c r="I9" i="9"/>
  <c r="H11" i="8"/>
  <c r="H9" i="9"/>
  <c r="G11" i="8"/>
  <c r="G9" i="9"/>
  <c r="F11" i="8"/>
  <c r="F9" i="9"/>
  <c r="E11" i="8"/>
  <c r="E9" i="9"/>
  <c r="D9" i="9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H24" i="8"/>
  <c r="H22" i="9"/>
  <c r="I24" i="8"/>
  <c r="I22" i="9"/>
  <c r="J24" i="8"/>
  <c r="J22" i="9"/>
  <c r="K24" i="8"/>
  <c r="K22" i="9"/>
  <c r="L24" i="8"/>
  <c r="L22" i="9"/>
  <c r="M24" i="8"/>
  <c r="M22" i="9"/>
  <c r="N24" i="8"/>
  <c r="N22" i="9"/>
  <c r="O24" i="8"/>
  <c r="O22" i="9"/>
  <c r="P24" i="8"/>
  <c r="P22" i="9"/>
  <c r="Q24" i="8"/>
  <c r="Q22" i="9"/>
  <c r="R24" i="8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I31" i="9"/>
  <c r="I33" i="8"/>
  <c r="J31" i="9"/>
  <c r="J33" i="8"/>
  <c r="K31" i="9"/>
  <c r="K33" i="8"/>
  <c r="L31" i="9"/>
  <c r="L33" i="8"/>
  <c r="M31" i="9"/>
  <c r="M33" i="8"/>
  <c r="E34" i="8"/>
  <c r="D34" i="8"/>
  <c r="F34" i="8"/>
  <c r="G34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G7" i="5"/>
  <c r="R14" i="8" s="1"/>
  <c r="D6" i="7"/>
  <c r="L6" i="7"/>
  <c r="D12" i="7"/>
  <c r="F12" i="7"/>
  <c r="F6" i="7"/>
  <c r="N6" i="7"/>
  <c r="C10" i="7"/>
  <c r="F3" i="7"/>
  <c r="H6" i="7"/>
  <c r="P6" i="7"/>
  <c r="G12" i="7"/>
  <c r="M6" i="7"/>
  <c r="H3" i="7"/>
  <c r="G6" i="7"/>
  <c r="O6" i="7"/>
  <c r="N3" i="7"/>
  <c r="J6" i="7"/>
  <c r="R6" i="7"/>
  <c r="P3" i="7"/>
  <c r="C11" i="7"/>
  <c r="C4" i="7"/>
  <c r="C5" i="7"/>
  <c r="F9" i="7"/>
  <c r="E13" i="8"/>
  <c r="I3" i="7"/>
  <c r="Q3" i="7"/>
  <c r="E6" i="7"/>
  <c r="G9" i="7"/>
  <c r="O9" i="7"/>
  <c r="E12" i="7"/>
  <c r="N9" i="7"/>
  <c r="J3" i="7"/>
  <c r="R3" i="7"/>
  <c r="H9" i="7"/>
  <c r="P9" i="7"/>
  <c r="K3" i="7"/>
  <c r="I9" i="7"/>
  <c r="Q9" i="7"/>
  <c r="R9" i="7"/>
  <c r="L3" i="7"/>
  <c r="J9" i="7"/>
  <c r="E3" i="7"/>
  <c r="M3" i="7"/>
  <c r="K9" i="7"/>
  <c r="L9" i="7"/>
  <c r="D9" i="7"/>
  <c r="D15" i="7" s="1"/>
  <c r="D21" i="7" s="1"/>
  <c r="D27" i="7" s="1"/>
  <c r="G3" i="7"/>
  <c r="O3" i="7"/>
  <c r="E9" i="7"/>
  <c r="M9" i="7"/>
  <c r="C7" i="3"/>
  <c r="C8" i="3" s="1"/>
  <c r="L21" i="8"/>
  <c r="K21" i="8"/>
  <c r="R21" i="8"/>
  <c r="J21" i="8"/>
  <c r="Q21" i="8"/>
  <c r="I21" i="8"/>
  <c r="P21" i="8"/>
  <c r="H21" i="8"/>
  <c r="O21" i="8"/>
  <c r="G21" i="8"/>
  <c r="N21" i="8"/>
  <c r="F21" i="8"/>
  <c r="M21" i="8"/>
  <c r="E21" i="8"/>
  <c r="H32" i="9" l="1"/>
  <c r="C11" i="8"/>
  <c r="C9" i="9"/>
  <c r="H34" i="8"/>
  <c r="E24" i="8"/>
  <c r="E22" i="9"/>
  <c r="C13" i="8"/>
  <c r="G24" i="8"/>
  <c r="G22" i="9"/>
  <c r="F24" i="8"/>
  <c r="F22" i="9"/>
  <c r="D24" i="8"/>
  <c r="D22" i="9"/>
  <c r="AG12" i="9"/>
  <c r="C12" i="9" s="1"/>
  <c r="C6" i="7"/>
  <c r="C12" i="7"/>
  <c r="I32" i="9" l="1"/>
  <c r="I35" i="9" s="1"/>
  <c r="C24" i="8"/>
  <c r="C22" i="9"/>
  <c r="I34" i="8"/>
  <c r="C14" i="8"/>
  <c r="J32" i="9" l="1"/>
  <c r="J34" i="8"/>
  <c r="I37" i="8"/>
  <c r="J35" i="9" l="1"/>
  <c r="J37" i="8"/>
  <c r="K32" i="9"/>
  <c r="K35" i="9" s="1"/>
  <c r="K34" i="8"/>
  <c r="D10" i="9"/>
  <c r="H7" i="5"/>
  <c r="H17" i="5"/>
  <c r="E10" i="9" l="1"/>
  <c r="E13" i="9" s="1"/>
  <c r="L32" i="9"/>
  <c r="L35" i="9" s="1"/>
  <c r="L34" i="8"/>
  <c r="K37" i="8"/>
  <c r="F10" i="9"/>
  <c r="F13" i="9" s="1"/>
  <c r="D12" i="8"/>
  <c r="D15" i="8" s="1"/>
  <c r="E12" i="8"/>
  <c r="D23" i="8"/>
  <c r="D13" i="9"/>
  <c r="E15" i="8" l="1"/>
  <c r="L37" i="8"/>
  <c r="M32" i="9"/>
  <c r="M35" i="9" s="1"/>
  <c r="M34" i="8"/>
  <c r="F12" i="8"/>
  <c r="F23" i="8"/>
  <c r="E23" i="8"/>
  <c r="F15" i="8" l="1"/>
  <c r="Z9" i="10"/>
  <c r="Z10" i="10" s="1"/>
  <c r="K9" i="10"/>
  <c r="K10" i="10" s="1"/>
  <c r="S9" i="10"/>
  <c r="S10" i="10" s="1"/>
  <c r="AA9" i="10"/>
  <c r="AA10" i="10" s="1"/>
  <c r="L9" i="10"/>
  <c r="L10" i="10" s="1"/>
  <c r="T9" i="10"/>
  <c r="T10" i="10" s="1"/>
  <c r="AB9" i="10"/>
  <c r="AB10" i="10" s="1"/>
  <c r="E9" i="10"/>
  <c r="M9" i="10"/>
  <c r="M10" i="10" s="1"/>
  <c r="U9" i="10"/>
  <c r="U10" i="10" s="1"/>
  <c r="AC9" i="10"/>
  <c r="AC10" i="10" s="1"/>
  <c r="F9" i="10"/>
  <c r="N9" i="10"/>
  <c r="N10" i="10" s="1"/>
  <c r="V9" i="10"/>
  <c r="V10" i="10" s="1"/>
  <c r="AD9" i="10"/>
  <c r="AD10" i="10" s="1"/>
  <c r="D9" i="10"/>
  <c r="G9" i="10"/>
  <c r="G10" i="10" s="1"/>
  <c r="O9" i="10"/>
  <c r="O10" i="10" s="1"/>
  <c r="W9" i="10"/>
  <c r="W10" i="10" s="1"/>
  <c r="AE9" i="10"/>
  <c r="AE10" i="10" s="1"/>
  <c r="H9" i="10"/>
  <c r="H10" i="10" s="1"/>
  <c r="P9" i="10"/>
  <c r="P10" i="10" s="1"/>
  <c r="X9" i="10"/>
  <c r="X10" i="10" s="1"/>
  <c r="AF9" i="10"/>
  <c r="AF10" i="10" s="1"/>
  <c r="I9" i="10"/>
  <c r="I10" i="10" s="1"/>
  <c r="Q9" i="10"/>
  <c r="Q10" i="10" s="1"/>
  <c r="Y9" i="10"/>
  <c r="Y10" i="10" s="1"/>
  <c r="AG9" i="10"/>
  <c r="AG10" i="10" s="1"/>
  <c r="J9" i="10"/>
  <c r="J10" i="10" s="1"/>
  <c r="R9" i="10"/>
  <c r="R10" i="10" s="1"/>
  <c r="N32" i="9"/>
  <c r="N35" i="9" s="1"/>
  <c r="N34" i="8"/>
  <c r="M37" i="8"/>
  <c r="G10" i="9"/>
  <c r="G13" i="9" s="1"/>
  <c r="G12" i="8"/>
  <c r="G23" i="8"/>
  <c r="G21" i="9" l="1"/>
  <c r="N37" i="8"/>
  <c r="I21" i="9"/>
  <c r="C9" i="10"/>
  <c r="D10" i="10"/>
  <c r="D21" i="9"/>
  <c r="F10" i="10"/>
  <c r="F21" i="9"/>
  <c r="E10" i="10"/>
  <c r="E21" i="9"/>
  <c r="O32" i="9"/>
  <c r="O35" i="9" s="1"/>
  <c r="O34" i="8"/>
  <c r="G15" i="8"/>
  <c r="H10" i="9"/>
  <c r="H13" i="9" s="1"/>
  <c r="H12" i="8"/>
  <c r="I10" i="9"/>
  <c r="H15" i="8" l="1"/>
  <c r="C10" i="10"/>
  <c r="I24" i="9"/>
  <c r="I23" i="8"/>
  <c r="I26" i="8" s="1"/>
  <c r="P32" i="9"/>
  <c r="P35" i="9" s="1"/>
  <c r="P34" i="8"/>
  <c r="O37" i="8"/>
  <c r="I13" i="9"/>
  <c r="I12" i="8"/>
  <c r="H21" i="9"/>
  <c r="H23" i="8"/>
  <c r="I15" i="8" l="1"/>
  <c r="P37" i="8"/>
  <c r="J21" i="9"/>
  <c r="J24" i="9" s="1"/>
  <c r="J23" i="8"/>
  <c r="Q32" i="9"/>
  <c r="Q35" i="9" s="1"/>
  <c r="Q34" i="8"/>
  <c r="J10" i="9"/>
  <c r="J12" i="8"/>
  <c r="J13" i="9" l="1"/>
  <c r="K23" i="8"/>
  <c r="K21" i="9"/>
  <c r="K24" i="9" s="1"/>
  <c r="J26" i="8"/>
  <c r="Q37" i="8"/>
  <c r="R32" i="9"/>
  <c r="R35" i="9" s="1"/>
  <c r="R34" i="8"/>
  <c r="J15" i="8"/>
  <c r="K10" i="9"/>
  <c r="K13" i="9" s="1"/>
  <c r="K12" i="8"/>
  <c r="K15" i="8" l="1"/>
  <c r="R37" i="8"/>
  <c r="L21" i="9"/>
  <c r="L24" i="9" s="1"/>
  <c r="L23" i="8"/>
  <c r="K26" i="8"/>
  <c r="S32" i="9"/>
  <c r="S35" i="9" s="1"/>
  <c r="L10" i="9"/>
  <c r="L13" i="9" s="1"/>
  <c r="L12" i="8"/>
  <c r="M21" i="9" l="1"/>
  <c r="M24" i="9" s="1"/>
  <c r="M23" i="8"/>
  <c r="L26" i="8"/>
  <c r="T32" i="9"/>
  <c r="T35" i="9" s="1"/>
  <c r="M10" i="9"/>
  <c r="M13" i="9" s="1"/>
  <c r="M12" i="8"/>
  <c r="L15" i="8"/>
  <c r="N23" i="8" l="1"/>
  <c r="N21" i="9"/>
  <c r="N24" i="9" s="1"/>
  <c r="M26" i="8"/>
  <c r="U32" i="9"/>
  <c r="U35" i="9" s="1"/>
  <c r="N10" i="9"/>
  <c r="N13" i="9" s="1"/>
  <c r="N12" i="8"/>
  <c r="M15" i="8"/>
  <c r="O21" i="9" l="1"/>
  <c r="O24" i="9" s="1"/>
  <c r="O23" i="8"/>
  <c r="N26" i="8"/>
  <c r="V32" i="9"/>
  <c r="V35" i="9" s="1"/>
  <c r="O10" i="9"/>
  <c r="O13" i="9" s="1"/>
  <c r="O12" i="8"/>
  <c r="N15" i="8"/>
  <c r="O15" i="8" l="1"/>
  <c r="P21" i="9"/>
  <c r="P24" i="9" s="1"/>
  <c r="P23" i="8"/>
  <c r="O26" i="8"/>
  <c r="W32" i="9"/>
  <c r="W35" i="9" s="1"/>
  <c r="P10" i="9"/>
  <c r="P13" i="9" s="1"/>
  <c r="P12" i="8"/>
  <c r="P15" i="8" l="1"/>
  <c r="Q21" i="9"/>
  <c r="Q24" i="9" s="1"/>
  <c r="Q23" i="8"/>
  <c r="P26" i="8"/>
  <c r="X32" i="9"/>
  <c r="X35" i="9" s="1"/>
  <c r="Q10" i="9"/>
  <c r="Q13" i="9" s="1"/>
  <c r="Q12" i="8"/>
  <c r="Q15" i="8" l="1"/>
  <c r="R21" i="9"/>
  <c r="R24" i="9" s="1"/>
  <c r="R23" i="8"/>
  <c r="Q26" i="8"/>
  <c r="Y32" i="9"/>
  <c r="Y35" i="9" s="1"/>
  <c r="R12" i="8"/>
  <c r="R10" i="9"/>
  <c r="R13" i="9" s="1"/>
  <c r="R15" i="8" l="1"/>
  <c r="S21" i="9"/>
  <c r="S24" i="9" s="1"/>
  <c r="Z32" i="9"/>
  <c r="Z35" i="9" s="1"/>
  <c r="S10" i="9"/>
  <c r="S13" i="9" s="1"/>
  <c r="T21" i="9" l="1"/>
  <c r="T24" i="9" s="1"/>
  <c r="AA32" i="9"/>
  <c r="AA35" i="9" s="1"/>
  <c r="T10" i="9"/>
  <c r="T13" i="9" s="1"/>
  <c r="U21" i="9" l="1"/>
  <c r="U24" i="9" s="1"/>
  <c r="AB32" i="9"/>
  <c r="AB35" i="9" s="1"/>
  <c r="U10" i="9"/>
  <c r="U13" i="9" s="1"/>
  <c r="V21" i="9" l="1"/>
  <c r="V24" i="9" s="1"/>
  <c r="AC32" i="9"/>
  <c r="AC35" i="9" s="1"/>
  <c r="V10" i="9"/>
  <c r="V13" i="9" s="1"/>
  <c r="W21" i="9" l="1"/>
  <c r="W24" i="9" s="1"/>
  <c r="AD32" i="9"/>
  <c r="AD35" i="9" s="1"/>
  <c r="W10" i="9"/>
  <c r="W13" i="9" s="1"/>
  <c r="X21" i="9" l="1"/>
  <c r="X24" i="9" s="1"/>
  <c r="AE32" i="9"/>
  <c r="AE35" i="9" s="1"/>
  <c r="X10" i="9"/>
  <c r="X13" i="9" s="1"/>
  <c r="Y21" i="9" l="1"/>
  <c r="Y24" i="9" s="1"/>
  <c r="AF32" i="9"/>
  <c r="AF35" i="9" s="1"/>
  <c r="Y10" i="9"/>
  <c r="Y13" i="9" s="1"/>
  <c r="Z21" i="9" l="1"/>
  <c r="Z24" i="9" s="1"/>
  <c r="AG32" i="9"/>
  <c r="Z10" i="9"/>
  <c r="Z13" i="9" s="1"/>
  <c r="AG35" i="9" l="1"/>
  <c r="C32" i="9"/>
  <c r="AA21" i="9"/>
  <c r="AA24" i="9" s="1"/>
  <c r="C34" i="8"/>
  <c r="AA10" i="9"/>
  <c r="AA13" i="9" s="1"/>
  <c r="AB21" i="9" l="1"/>
  <c r="AB24" i="9" s="1"/>
  <c r="AB10" i="9"/>
  <c r="AB13" i="9" s="1"/>
  <c r="AC21" i="9" l="1"/>
  <c r="AC24" i="9" s="1"/>
  <c r="AC10" i="9"/>
  <c r="AC13" i="9" s="1"/>
  <c r="AD21" i="9" l="1"/>
  <c r="AD24" i="9" s="1"/>
  <c r="AD10" i="9"/>
  <c r="AD13" i="9" s="1"/>
  <c r="AE21" i="9" l="1"/>
  <c r="AE24" i="9" s="1"/>
  <c r="AE10" i="9"/>
  <c r="AE13" i="9" s="1"/>
  <c r="AF21" i="9" l="1"/>
  <c r="AF24" i="9" s="1"/>
  <c r="AF10" i="9"/>
  <c r="AF13" i="9" s="1"/>
  <c r="AG21" i="9" l="1"/>
  <c r="AG10" i="9"/>
  <c r="AG13" i="9" l="1"/>
  <c r="C13" i="9" s="1"/>
  <c r="C10" i="9"/>
  <c r="C15" i="9" s="1"/>
  <c r="C2" i="9" s="1"/>
  <c r="AG24" i="9"/>
  <c r="C21" i="9"/>
  <c r="C23" i="8"/>
  <c r="C12" i="8"/>
  <c r="C17" i="8" s="1"/>
  <c r="C2" i="8" s="1"/>
  <c r="C15" i="8" l="1"/>
  <c r="F15" i="3" l="1"/>
  <c r="E20" i="9" l="1"/>
  <c r="E24" i="9" s="1"/>
  <c r="E22" i="8"/>
  <c r="E26" i="8" s="1"/>
  <c r="G15" i="3"/>
  <c r="F20" i="9" l="1"/>
  <c r="F24" i="9" s="1"/>
  <c r="F22" i="8"/>
  <c r="F26" i="8"/>
  <c r="H15" i="3"/>
  <c r="G20" i="9" l="1"/>
  <c r="G24" i="9" s="1"/>
  <c r="G22" i="8"/>
  <c r="G26" i="8"/>
  <c r="I15" i="3"/>
  <c r="H22" i="8" s="1"/>
  <c r="H26" i="8" s="1"/>
  <c r="C13" i="3"/>
  <c r="E19" i="3" s="1"/>
  <c r="E23" i="3" s="1"/>
  <c r="I21" i="3" l="1"/>
  <c r="I23" i="3" s="1"/>
  <c r="H33" i="8" s="1"/>
  <c r="H37" i="8" s="1"/>
  <c r="F21" i="3"/>
  <c r="F23" i="3" s="1"/>
  <c r="G21" i="3"/>
  <c r="G23" i="3" s="1"/>
  <c r="F31" i="9" s="1"/>
  <c r="F35" i="9" s="1"/>
  <c r="G11" i="5"/>
  <c r="H20" i="9"/>
  <c r="H24" i="9" s="1"/>
  <c r="H31" i="9"/>
  <c r="H35" i="9" s="1"/>
  <c r="H21" i="3"/>
  <c r="H23" i="3" s="1"/>
  <c r="H37" i="3"/>
  <c r="H39" i="3" s="1"/>
  <c r="G55" i="8" s="1"/>
  <c r="G59" i="8" s="1"/>
  <c r="G37" i="3"/>
  <c r="G39" i="3" s="1"/>
  <c r="F55" i="8" s="1"/>
  <c r="F59" i="8" s="1"/>
  <c r="F37" i="3"/>
  <c r="I37" i="3"/>
  <c r="I39" i="3" s="1"/>
  <c r="H55" i="8" s="1"/>
  <c r="H59" i="8" s="1"/>
  <c r="E35" i="3"/>
  <c r="H29" i="3"/>
  <c r="H31" i="3" s="1"/>
  <c r="G44" i="8" s="1"/>
  <c r="G48" i="8" s="1"/>
  <c r="I29" i="3"/>
  <c r="I31" i="3" s="1"/>
  <c r="H44" i="8" s="1"/>
  <c r="H48" i="8" s="1"/>
  <c r="G29" i="3"/>
  <c r="E27" i="3"/>
  <c r="D31" i="9"/>
  <c r="D33" i="8"/>
  <c r="E31" i="9"/>
  <c r="E35" i="9" s="1"/>
  <c r="E33" i="8"/>
  <c r="E37" i="8" s="1"/>
  <c r="C19" i="3"/>
  <c r="E11" i="3"/>
  <c r="C21" i="3" l="1"/>
  <c r="F33" i="8"/>
  <c r="F37" i="8" s="1"/>
  <c r="H11" i="5"/>
  <c r="H12" i="5" s="1"/>
  <c r="G12" i="5"/>
  <c r="C23" i="3"/>
  <c r="C37" i="3"/>
  <c r="F39" i="3"/>
  <c r="E55" i="8" s="1"/>
  <c r="E59" i="8" s="1"/>
  <c r="E31" i="3"/>
  <c r="C27" i="3"/>
  <c r="G25" i="5" s="1"/>
  <c r="G27" i="5" s="1"/>
  <c r="R58" i="8" s="1"/>
  <c r="C35" i="3"/>
  <c r="E39" i="3"/>
  <c r="G31" i="9"/>
  <c r="G35" i="9" s="1"/>
  <c r="G31" i="3"/>
  <c r="F44" i="8" s="1"/>
  <c r="F48" i="8" s="1"/>
  <c r="C29" i="3"/>
  <c r="G33" i="8"/>
  <c r="G37" i="8" s="1"/>
  <c r="C11" i="3"/>
  <c r="E15" i="3"/>
  <c r="C33" i="8"/>
  <c r="C39" i="8" s="1"/>
  <c r="C4" i="8" s="1"/>
  <c r="D37" i="8"/>
  <c r="D35" i="9"/>
  <c r="R25" i="8" l="1"/>
  <c r="AG23" i="9"/>
  <c r="C23" i="9" s="1"/>
  <c r="C31" i="9"/>
  <c r="C37" i="9" s="1"/>
  <c r="C4" i="9" s="1"/>
  <c r="C35" i="9"/>
  <c r="C37" i="8"/>
  <c r="C58" i="8"/>
  <c r="R59" i="8"/>
  <c r="D55" i="8"/>
  <c r="C39" i="3"/>
  <c r="D44" i="8"/>
  <c r="C31" i="3"/>
  <c r="D20" i="9"/>
  <c r="C15" i="3"/>
  <c r="C16" i="3" s="1"/>
  <c r="D22" i="8"/>
  <c r="R26" i="8" l="1"/>
  <c r="C25" i="8"/>
  <c r="C44" i="8"/>
  <c r="C50" i="8" s="1"/>
  <c r="C5" i="8" s="1"/>
  <c r="D48" i="8"/>
  <c r="C48" i="8" s="1"/>
  <c r="C55" i="8"/>
  <c r="C61" i="8" s="1"/>
  <c r="C6" i="8" s="1"/>
  <c r="D59" i="8"/>
  <c r="C59" i="8" s="1"/>
  <c r="C22" i="8"/>
  <c r="D26" i="8"/>
  <c r="D24" i="9"/>
  <c r="C24" i="9" s="1"/>
  <c r="C20" i="9"/>
  <c r="C26" i="9" s="1"/>
  <c r="C3" i="9" s="1"/>
  <c r="C28" i="8" l="1"/>
  <c r="C3" i="8" s="1"/>
  <c r="C26" i="8"/>
  <c r="C112" i="14" l="1"/>
  <c r="C118" i="14"/>
  <c r="C29" i="15" l="1"/>
  <c r="J24" i="17" s="1"/>
  <c r="J27" i="17" s="1"/>
  <c r="J48" i="17" s="1"/>
  <c r="B31" i="15" l="1"/>
  <c r="B74" i="15" s="1"/>
  <c r="G24" i="17"/>
  <c r="G27" i="17" s="1"/>
  <c r="G48" i="17" s="1"/>
  <c r="F24" i="17"/>
  <c r="F27" i="17" s="1"/>
  <c r="F48" i="17" s="1"/>
  <c r="Q24" i="17"/>
  <c r="Q27" i="17" s="1"/>
  <c r="Q48" i="17" s="1"/>
  <c r="E24" i="17"/>
  <c r="E27" i="17" s="1"/>
  <c r="E48" i="17" s="1"/>
  <c r="K24" i="17"/>
  <c r="K27" i="17" s="1"/>
  <c r="K48" i="17" s="1"/>
  <c r="P24" i="17"/>
  <c r="P27" i="17" s="1"/>
  <c r="P48" i="17" s="1"/>
  <c r="D24" i="17"/>
  <c r="D27" i="17" s="1"/>
  <c r="D48" i="17" s="1"/>
  <c r="O24" i="17"/>
  <c r="O27" i="17" s="1"/>
  <c r="O48" i="17" s="1"/>
  <c r="R24" i="17"/>
  <c r="R27" i="17" s="1"/>
  <c r="R48" i="17" s="1"/>
  <c r="N24" i="17"/>
  <c r="N27" i="17" s="1"/>
  <c r="N48" i="17" s="1"/>
  <c r="L24" i="17"/>
  <c r="L27" i="17" s="1"/>
  <c r="L48" i="17" s="1"/>
  <c r="I24" i="17"/>
  <c r="I27" i="17" s="1"/>
  <c r="I48" i="17" s="1"/>
  <c r="H24" i="17"/>
  <c r="H27" i="17" s="1"/>
  <c r="H48" i="17" s="1"/>
  <c r="M24" i="17"/>
  <c r="M27" i="17" s="1"/>
  <c r="M48" i="17" s="1"/>
  <c r="B75" i="15"/>
  <c r="D33" i="15"/>
  <c r="D34" i="15" s="1"/>
  <c r="B41" i="15"/>
  <c r="D42" i="15" l="1"/>
  <c r="D43" i="15" s="1"/>
  <c r="B45" i="15"/>
  <c r="B59" i="15"/>
  <c r="B60" i="15" s="1"/>
  <c r="B61" i="15" s="1"/>
  <c r="B64" i="15" s="1"/>
  <c r="B36" i="15"/>
  <c r="C24" i="17"/>
  <c r="C27" i="17" s="1"/>
  <c r="B76" i="15"/>
  <c r="B79" i="15" s="1"/>
  <c r="B78" i="15"/>
  <c r="D78" i="15" s="1"/>
  <c r="C48" i="17" l="1"/>
  <c r="C123" i="17" s="1"/>
  <c r="C125" i="17" s="1"/>
  <c r="F36" i="15"/>
  <c r="B48" i="15"/>
  <c r="F48" i="15" s="1"/>
  <c r="F45" i="15"/>
  <c r="B49" i="15"/>
  <c r="F49" i="15" s="1"/>
  <c r="B63" i="15"/>
  <c r="D63" i="15" s="1"/>
</calcChain>
</file>

<file path=xl/sharedStrings.xml><?xml version="1.0" encoding="utf-8"?>
<sst xmlns="http://schemas.openxmlformats.org/spreadsheetml/2006/main" count="1087" uniqueCount="301">
  <si>
    <t>Diskontná sadzba</t>
  </si>
  <si>
    <t>Finančná</t>
  </si>
  <si>
    <t>Ekonomická</t>
  </si>
  <si>
    <t>Agregovaný konverzný faktor</t>
  </si>
  <si>
    <t>Cena energie (plyn)</t>
  </si>
  <si>
    <t>eur/MWh</t>
  </si>
  <si>
    <t>Emisný faktor</t>
  </si>
  <si>
    <t>tCO2/MWh</t>
  </si>
  <si>
    <t>m2</t>
  </si>
  <si>
    <t>Nájomné</t>
  </si>
  <si>
    <t>eur/m2</t>
  </si>
  <si>
    <t>Výška nájmu (ročná)</t>
  </si>
  <si>
    <t>eur/rok</t>
  </si>
  <si>
    <t>Náklady na parkovanie</t>
  </si>
  <si>
    <t>Mesačný poplatok za parkovacie miesto</t>
  </si>
  <si>
    <t>eur/miesto</t>
  </si>
  <si>
    <t>Počet parkovacích miest</t>
  </si>
  <si>
    <t>počet</t>
  </si>
  <si>
    <t>Nájom parkovacích miest (ročne)</t>
  </si>
  <si>
    <t>Prevádzkové náklady</t>
  </si>
  <si>
    <t>Náklady na energie</t>
  </si>
  <si>
    <t>Ostatné náklady</t>
  </si>
  <si>
    <t>Počet zamestnancov</t>
  </si>
  <si>
    <t>zam</t>
  </si>
  <si>
    <t>Potrebná administratívna plocha</t>
  </si>
  <si>
    <t>Fitout</t>
  </si>
  <si>
    <t>Úspora energie</t>
  </si>
  <si>
    <t>Výpočet parkovacích stojísk podľa STN</t>
  </si>
  <si>
    <t>N = 1,1 * Po * kmp * kd</t>
  </si>
  <si>
    <t>Po - základný počet parkovacích stojísk</t>
  </si>
  <si>
    <t>kmp - regulačný koeficient polohy</t>
  </si>
  <si>
    <t>kd - súčiniteľ vplyvu deľby prepravnej práce</t>
  </si>
  <si>
    <t>ALTERNATÍVA 0 STATUS QUO</t>
  </si>
  <si>
    <t>Celkom</t>
  </si>
  <si>
    <t>Projektová dokumentácia</t>
  </si>
  <si>
    <t>Pozemok</t>
  </si>
  <si>
    <t>Budova</t>
  </si>
  <si>
    <t>Vyvolané náklady</t>
  </si>
  <si>
    <t>Celkové investičné výdavky</t>
  </si>
  <si>
    <t>s DPH</t>
  </si>
  <si>
    <t>Zostatková hodnota na základe životnosti infraštruktrálnych prvkov (účtovné odpisy)</t>
  </si>
  <si>
    <t>Infraštrukturálny prvok</t>
  </si>
  <si>
    <t>Životnosť v rokoch</t>
  </si>
  <si>
    <t>Obdobie prevádzky v rámci referenčného obdobia</t>
  </si>
  <si>
    <t>Životnosť (vrátane výmeny)</t>
  </si>
  <si>
    <t>Zostatková hodnota</t>
  </si>
  <si>
    <t>ALTERNATÍVA 0</t>
  </si>
  <si>
    <t>Pozemky</t>
  </si>
  <si>
    <t>nekonečná</t>
  </si>
  <si>
    <t>Budovy</t>
  </si>
  <si>
    <t>ALTERNATÍVA 1</t>
  </si>
  <si>
    <t>ALTERNATÍVA 2</t>
  </si>
  <si>
    <t>Rok</t>
  </si>
  <si>
    <t>STATUS QUO</t>
  </si>
  <si>
    <t>Nájom parkovacích miest</t>
  </si>
  <si>
    <t>Prevádzka</t>
  </si>
  <si>
    <t>Energie</t>
  </si>
  <si>
    <t>Celkové prevádzkové výdavky</t>
  </si>
  <si>
    <t>VÝSTAVBA</t>
  </si>
  <si>
    <t>NOVÝ NÁJOM</t>
  </si>
  <si>
    <t>Vstupné</t>
  </si>
  <si>
    <t>Iné</t>
  </si>
  <si>
    <t>Celkové prevádzkové príjmy</t>
  </si>
  <si>
    <t>FNPV</t>
  </si>
  <si>
    <t>Peňažné toky</t>
  </si>
  <si>
    <t>(diskontované)</t>
  </si>
  <si>
    <t>Investičné výdavky</t>
  </si>
  <si>
    <t>Prevádzkové výdavky</t>
  </si>
  <si>
    <t>Prevádzkové príjmy</t>
  </si>
  <si>
    <t>Čisté peňažné toky</t>
  </si>
  <si>
    <t>Finančná čistá súčasná hodnota investície</t>
  </si>
  <si>
    <t>EUR</t>
  </si>
  <si>
    <t>Emisie</t>
  </si>
  <si>
    <t>Celkové spoločenské náklady</t>
  </si>
  <si>
    <t>ENPV</t>
  </si>
  <si>
    <t>Ekonomická čistá súčasná hodnota investície</t>
  </si>
  <si>
    <t>Celkom bez DPH</t>
  </si>
  <si>
    <t>Zostatková hodnota finančná</t>
  </si>
  <si>
    <t>Zostatková hodnota ekonomická</t>
  </si>
  <si>
    <t>Zostávajúca životnosť v %</t>
  </si>
  <si>
    <t>eur/mes./m2</t>
  </si>
  <si>
    <t>eur/rok/celková rozloha</t>
  </si>
  <si>
    <t>Náklady SPN</t>
  </si>
  <si>
    <t>Náklady voliteľné (upratovanie, SBS)</t>
  </si>
  <si>
    <t>Náklady na modernizáciu a technické zhodnotenie objektov a technológií</t>
  </si>
  <si>
    <t xml:space="preserve">Príjem z prenájmu </t>
  </si>
  <si>
    <t>IAD:OOD</t>
  </si>
  <si>
    <t>Súčiniteľ kd</t>
  </si>
  <si>
    <t>35:65</t>
  </si>
  <si>
    <t>40:60</t>
  </si>
  <si>
    <t>koeficient kmp</t>
  </si>
  <si>
    <t>popis</t>
  </si>
  <si>
    <t>CMO</t>
  </si>
  <si>
    <t>širšie cent.</t>
  </si>
  <si>
    <t>ostatné</t>
  </si>
  <si>
    <t>his. jadro</t>
  </si>
  <si>
    <t>lokal. cent.</t>
  </si>
  <si>
    <t>osob. def. zóny</t>
  </si>
  <si>
    <t>Ostatné priestory (sklad, serverovňa, atď.)</t>
  </si>
  <si>
    <t>Celková rozloha nájmu</t>
  </si>
  <si>
    <t>Nájomné kanc. priestorov</t>
  </si>
  <si>
    <t>v cene nájmu kanc. priestorov</t>
  </si>
  <si>
    <t xml:space="preserve">ALTERNATÍVA 1 </t>
  </si>
  <si>
    <t xml:space="preserve">ALTERNATÍVA 2 </t>
  </si>
  <si>
    <t xml:space="preserve">ALTERNATÍVA 3 </t>
  </si>
  <si>
    <t>ALTERNATÍVA 3</t>
  </si>
  <si>
    <t>NÁJOM SPECTRUM TOWER</t>
  </si>
  <si>
    <t>NÁJOM APOLLO NIVY</t>
  </si>
  <si>
    <t>STATUS QUO + NÁJOM</t>
  </si>
  <si>
    <t xml:space="preserve">ALTERNATÍVA 4 </t>
  </si>
  <si>
    <t>ALTERNATÍVA 4</t>
  </si>
  <si>
    <t>NÁJOM WESTEND GATE</t>
  </si>
  <si>
    <t>Status quo MZ SR</t>
  </si>
  <si>
    <t>Status quo VšZP</t>
  </si>
  <si>
    <t>Ostatné náklady (Mzdy na zamestnancov zabezpečujúcich recepciu)</t>
  </si>
  <si>
    <t>Spolu náklady na prenájom budovy - Bárdošova</t>
  </si>
  <si>
    <t>Náklady na energie (elektrina, voda, plyn)</t>
  </si>
  <si>
    <t>Náklady SPN (EPS, Servisy VTZ, zimná, letná údržba, deratizácie, OLO a pod.)</t>
  </si>
  <si>
    <t>Náklady voliteľné</t>
  </si>
  <si>
    <t>Náklady na poistenie budovy MZ SR</t>
  </si>
  <si>
    <t>Daň z nehnuteľnosti</t>
  </si>
  <si>
    <t>Náklady na prevádzku vlastnej budovy bez energií</t>
  </si>
  <si>
    <t>Spolu náklady na prevádzku vlastnej budovy vrátane energií</t>
  </si>
  <si>
    <t>Nájomné Bárdošova</t>
  </si>
  <si>
    <t>Prevádzka Limbová</t>
  </si>
  <si>
    <t>Energie Limbová</t>
  </si>
  <si>
    <t>Nájomné vrátane prevádzkových nákladov</t>
  </si>
  <si>
    <t>Nájomné Panónska cesta</t>
  </si>
  <si>
    <t>Nájomné náklady - Panónska cesta</t>
  </si>
  <si>
    <t>Prevádzka Mamateyova</t>
  </si>
  <si>
    <t>Energie Mamateyova</t>
  </si>
  <si>
    <t>Prevádzka Ondavská</t>
  </si>
  <si>
    <t>Energie Ondavská</t>
  </si>
  <si>
    <t>Prevádzkové náklady - Mamateyova</t>
  </si>
  <si>
    <t>Prevádzkové náklady - Ondavská</t>
  </si>
  <si>
    <t>Náklady na prevádzku vlastnej budovy bez energií - Ondavská</t>
  </si>
  <si>
    <t>Spolu náklady na prevádzku vlastnej budovy vrátane energií - Ondavská</t>
  </si>
  <si>
    <t>Náklady na prevádzku vlastnej budovy bez energií - Mamateyova</t>
  </si>
  <si>
    <t>Spolu náklady na prevádzku vlastnej budovy vrátane energií - Mamateyova</t>
  </si>
  <si>
    <t>Náklady na poistenie</t>
  </si>
  <si>
    <t>1. rok</t>
  </si>
  <si>
    <t>2. rok</t>
  </si>
  <si>
    <t>3. a ďalšie</t>
  </si>
  <si>
    <t>Spolu MZ</t>
  </si>
  <si>
    <t>ALTERNATÍVA A</t>
  </si>
  <si>
    <t>ALTERNATÍVA C</t>
  </si>
  <si>
    <t>Alternatíva A - Status quo MZ SR</t>
  </si>
  <si>
    <t>Alternatíva A - Status quo VšZP</t>
  </si>
  <si>
    <t>Alternatíva B: Samostatný nájom pre MZSR</t>
  </si>
  <si>
    <t>Alternatíva C: pre MZ SR</t>
  </si>
  <si>
    <t>Alternatíva C: pre VšZP</t>
  </si>
  <si>
    <t>NÁJOM VšZP - Westend</t>
  </si>
  <si>
    <t>NÁJOM MZ SR - Westend</t>
  </si>
  <si>
    <t>ALTERNATÍVA B</t>
  </si>
  <si>
    <r>
      <t xml:space="preserve">Alternatíva C: pre MZ SR
</t>
    </r>
    <r>
      <rPr>
        <sz val="11"/>
        <rFont val="Calibri"/>
        <family val="2"/>
        <scheme val="minor"/>
      </rPr>
      <t xml:space="preserve">(15 r. nájom - Westend - konečná cena bez uplatnenia DPH) </t>
    </r>
  </si>
  <si>
    <r>
      <t xml:space="preserve">Alternatíva C: pre VšZP
</t>
    </r>
    <r>
      <rPr>
        <sz val="11"/>
        <rFont val="Calibri"/>
        <family val="2"/>
        <scheme val="minor"/>
      </rPr>
      <t xml:space="preserve">(15 r. nájom - Westend - cena uvedená bez DPH) </t>
    </r>
  </si>
  <si>
    <t>Ostatné priestory (pobočka pre zakaznikov)</t>
  </si>
  <si>
    <t>NÁJOM MZ SR - Pribinová 19</t>
  </si>
  <si>
    <t>NÁJOM VšZP - Apollo Nivy</t>
  </si>
  <si>
    <r>
      <t xml:space="preserve">Alternatíva B: Samostatný nájom pre VšZP
</t>
    </r>
    <r>
      <rPr>
        <sz val="11"/>
        <rFont val="Calibri"/>
        <family val="2"/>
        <scheme val="minor"/>
      </rPr>
      <t xml:space="preserve">(15 r. nájom Apollo Nivy - cena uvedená bez DPH)  </t>
    </r>
  </si>
  <si>
    <t>Rozloha nájmu (administratívna plocha) - 100% obsadenosť</t>
  </si>
  <si>
    <t>Rozloha nájmu (administratívna plocha) - Limbová - 100% obsadenosť</t>
  </si>
  <si>
    <t>Rozloha budovy vo vlastníctve - 95% obsadenosť</t>
  </si>
  <si>
    <t>Rozloha budovy vo vlastníctve - 100% obsadenosť</t>
  </si>
  <si>
    <t>Rozloha nájmu (administratívna plocha)</t>
  </si>
  <si>
    <r>
      <t>Alternatíva A - Status quo MZ SR</t>
    </r>
    <r>
      <rPr>
        <sz val="11"/>
        <rFont val="Calibri"/>
        <family val="2"/>
        <scheme val="minor"/>
      </rPr>
      <t xml:space="preserve"> (Počet zamestnancov 453)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(preukázateľné náklady za rok 2024, preindexované na rok 2026)</t>
    </r>
  </si>
  <si>
    <r>
      <t xml:space="preserve">Nájomné náklady - Bárdošova </t>
    </r>
    <r>
      <rPr>
        <sz val="11"/>
        <rFont val="Calibri"/>
        <family val="2"/>
        <scheme val="minor"/>
      </rPr>
      <t>(Počet kancelárií 66 - 100% obsadenosť)</t>
    </r>
  </si>
  <si>
    <r>
      <t xml:space="preserve">Prevádzkové náklady - Limbová </t>
    </r>
    <r>
      <rPr>
        <sz val="11"/>
        <rFont val="Calibri"/>
        <family val="2"/>
        <scheme val="minor"/>
      </rPr>
      <t>(Počet kancelárií 182 - 100% obsadenosť)</t>
    </r>
  </si>
  <si>
    <r>
      <t xml:space="preserve">Alternatíva A - Status quo VšZP </t>
    </r>
    <r>
      <rPr>
        <sz val="11"/>
        <rFont val="Calibri"/>
        <family val="2"/>
        <scheme val="minor"/>
      </rPr>
      <t>(Počet zamestnancov 654)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(preukázateľné náklady za rok 2024, preindexované na rok 2026)</t>
    </r>
  </si>
  <si>
    <r>
      <rPr>
        <b/>
        <sz val="22"/>
        <rFont val="Calibri"/>
        <family val="2"/>
        <scheme val="minor"/>
      </rPr>
      <t xml:space="preserve">Alternatíva B:
</t>
    </r>
    <r>
      <rPr>
        <sz val="22"/>
        <rFont val="Calibri"/>
        <family val="2"/>
        <scheme val="minor"/>
      </rPr>
      <t>Dva samostatné prenájmy pre MZSR a VšZP</t>
    </r>
  </si>
  <si>
    <r>
      <t xml:space="preserve">Alternatíva B: Samostatný nájom pre MZSR
</t>
    </r>
    <r>
      <rPr>
        <sz val="11"/>
        <rFont val="Calibri"/>
        <family val="2"/>
        <scheme val="minor"/>
      </rPr>
      <t xml:space="preserve">(15 r. nájom MZ SR - Pribinová 19 - konečná cena bez uplatnenia DPH) </t>
    </r>
  </si>
  <si>
    <r>
      <rPr>
        <b/>
        <sz val="22"/>
        <rFont val="Calibri"/>
        <family val="2"/>
        <scheme val="minor"/>
      </rPr>
      <t xml:space="preserve">Alternatíva C:
</t>
    </r>
    <r>
      <rPr>
        <sz val="22"/>
        <rFont val="Calibri"/>
        <family val="2"/>
        <scheme val="minor"/>
      </rPr>
      <t>Spoločný prenájom jedného veľkého administratívneho priestoru pre MZ SR a VšZP</t>
    </r>
  </si>
  <si>
    <t>Prevádzkové náklady - Limbová 2</t>
  </si>
  <si>
    <t>Ceny uvedené s DPH</t>
  </si>
  <si>
    <t>Rozloha objektu Limbová 2</t>
  </si>
  <si>
    <t>eur/rok s DPH</t>
  </si>
  <si>
    <r>
      <t xml:space="preserve">Ročné prevádzkové náklady Operačného strediska záchrannej zdravotnej služby
</t>
    </r>
    <r>
      <rPr>
        <sz val="12"/>
        <rFont val="Calibri"/>
        <family val="2"/>
        <charset val="238"/>
        <scheme val="minor"/>
      </rPr>
      <t>Preukázateľné náklady za rok 2024, preindexované na rok 2026</t>
    </r>
    <r>
      <rPr>
        <b/>
        <sz val="12"/>
        <rFont val="Calibri"/>
        <family val="2"/>
        <charset val="238"/>
        <scheme val="minor"/>
      </rPr>
      <t xml:space="preserve">
</t>
    </r>
    <r>
      <rPr>
        <sz val="12"/>
        <rFont val="Calibri"/>
        <family val="2"/>
        <charset val="238"/>
        <scheme val="minor"/>
      </rPr>
      <t>(bez investičného dlhu a nákladov na modernizáciu a technického zhodnotenia objektu)</t>
    </r>
  </si>
  <si>
    <r>
      <rPr>
        <sz val="11"/>
        <rFont val="Calibri"/>
        <family val="2"/>
        <scheme val="minor"/>
      </rPr>
      <t>Aktuálny počet zamestnancov v budov</t>
    </r>
    <r>
      <rPr>
        <sz val="11"/>
        <rFont val="Calibri"/>
        <family val="2"/>
        <charset val="238"/>
        <scheme val="minor"/>
      </rPr>
      <t xml:space="preserve">e </t>
    </r>
    <r>
      <rPr>
        <b/>
        <sz val="11"/>
        <rFont val="Calibri"/>
        <family val="2"/>
        <charset val="238"/>
        <scheme val="minor"/>
      </rPr>
      <t xml:space="preserve">55, </t>
    </r>
    <r>
      <rPr>
        <sz val="11"/>
        <rFont val="Calibri"/>
        <family val="2"/>
        <charset val="238"/>
        <scheme val="minor"/>
      </rPr>
      <t>p</t>
    </r>
    <r>
      <rPr>
        <sz val="11"/>
        <rFont val="Calibri"/>
        <family val="2"/>
        <scheme val="minor"/>
      </rPr>
      <t>očet kance</t>
    </r>
    <r>
      <rPr>
        <sz val="11"/>
        <rFont val="Calibri"/>
        <family val="2"/>
        <charset val="238"/>
        <scheme val="minor"/>
      </rPr>
      <t xml:space="preserve">lárií </t>
    </r>
    <r>
      <rPr>
        <b/>
        <sz val="11"/>
        <rFont val="Calibri"/>
        <family val="2"/>
        <charset val="238"/>
        <scheme val="minor"/>
      </rPr>
      <t xml:space="preserve">38 kacelárií a 9 izieb
29,69 m2 </t>
    </r>
    <r>
      <rPr>
        <sz val="11"/>
        <rFont val="Calibri"/>
        <family val="2"/>
        <charset val="238"/>
        <scheme val="minor"/>
      </rPr>
      <t>na 1 zamestnanca  (47 park. miest)</t>
    </r>
  </si>
  <si>
    <t>Nájomné náklady - Trnavská cesta 8/A (do 31.12.2027)</t>
  </si>
  <si>
    <t>Rozloha Rozloha nájmu (administratívna plocha)</t>
  </si>
  <si>
    <t>Spolu náklady na prevádzku prenajatej budovy vrátane energií</t>
  </si>
  <si>
    <t>Spolu OSZZS SR</t>
  </si>
  <si>
    <t>Nájomné náklady - Dunajská 68 (do 30.11.2026)</t>
  </si>
  <si>
    <t>Prevádzkové náklady - Lazaretská 26</t>
  </si>
  <si>
    <t>Rozloha budovy vo vlastníctve</t>
  </si>
  <si>
    <t xml:space="preserve">Spolu náklady na prevádzku vlastnej budovy vrátane energií </t>
  </si>
  <si>
    <t>MZ SR</t>
  </si>
  <si>
    <t>VšZP</t>
  </si>
  <si>
    <t>NCZI</t>
  </si>
  <si>
    <t>OSZS</t>
  </si>
  <si>
    <t>Status quo</t>
  </si>
  <si>
    <t>Status novus</t>
  </si>
  <si>
    <t>Investície</t>
  </si>
  <si>
    <t>Sumár s DPH</t>
  </si>
  <si>
    <t>Sumár bez DPH</t>
  </si>
  <si>
    <t>Rozdiel bez DPH</t>
  </si>
  <si>
    <t xml:space="preserve"> </t>
  </si>
  <si>
    <t>Náklady na poistenie (všetky budovy spolu)</t>
  </si>
  <si>
    <t>Alternatíva A - Status quo NCZI</t>
  </si>
  <si>
    <r>
      <t>Alternatíva A - Status quo NCZI</t>
    </r>
    <r>
      <rPr>
        <sz val="11"/>
        <rFont val="Calibri"/>
        <family val="2"/>
        <scheme val="minor"/>
      </rPr>
      <t xml:space="preserve"> (Počet zamestnancov 277)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(preukázateľné náklady za rok 2024, preindexované na rok 2026)</t>
    </r>
  </si>
  <si>
    <t>Aktuálny počet zamestnancov v budove 330, počet kancelárií 196
35,45 m2 na 1 zamestnanca  (75 park. miest)</t>
  </si>
  <si>
    <t>Alternatíva C : pre NCZI</t>
  </si>
  <si>
    <t>Status quo NCZI</t>
  </si>
  <si>
    <t>Status quo OSZZS</t>
  </si>
  <si>
    <t>Nájom Dunajská</t>
  </si>
  <si>
    <t>Energie Dunajská</t>
  </si>
  <si>
    <t>Energie Lazaretská</t>
  </si>
  <si>
    <t>Prevádzka Lazaretská</t>
  </si>
  <si>
    <t>Prevádzka Dunajská</t>
  </si>
  <si>
    <t>Nájom Trnavská cesta</t>
  </si>
  <si>
    <t>Energie Trnavská cesta</t>
  </si>
  <si>
    <t>Spolu VšZP s DPH</t>
  </si>
  <si>
    <t>Celkové prevádzkové výdavky s DPH</t>
  </si>
  <si>
    <t>Celkové prevádzkové výdavky bez DPH</t>
  </si>
  <si>
    <t>Rozdiel s DPH</t>
  </si>
  <si>
    <t>Spolu VšZP bez DPH</t>
  </si>
  <si>
    <t>Spolu VšZP Status quo s DPH</t>
  </si>
  <si>
    <t>Spolu MZ SR Status quo s DPH</t>
  </si>
  <si>
    <r>
      <rPr>
        <b/>
        <sz val="22"/>
        <rFont val="Calibri"/>
        <family val="2"/>
        <scheme val="minor"/>
      </rPr>
      <t xml:space="preserve">Alternatíva A:
</t>
    </r>
    <r>
      <rPr>
        <sz val="22"/>
        <rFont val="Calibri"/>
        <family val="2"/>
        <scheme val="minor"/>
      </rPr>
      <t>Maximálne využitie existujúcich budov MZSR, VšZP, NCZI a OSZZS s doplnením o prenájom - status quo</t>
    </r>
  </si>
  <si>
    <t>Spolu NCZI Status quo s DPH</t>
  </si>
  <si>
    <t>Spolu OSZZS s DPH</t>
  </si>
  <si>
    <t>Spolu MZ s DPH</t>
  </si>
  <si>
    <t>Spolu MZ SR s DPH</t>
  </si>
  <si>
    <t>Alternatíva C: pre OSZZS</t>
  </si>
  <si>
    <t>Alternatíva A - Status quo OSZZS</t>
  </si>
  <si>
    <t>Alternatíva B: pre NCZI</t>
  </si>
  <si>
    <r>
      <t>Alternatíva B:</t>
    </r>
    <r>
      <rPr>
        <sz val="22"/>
        <rFont val="Calibri"/>
        <family val="2"/>
        <charset val="238"/>
        <scheme val="minor"/>
      </rPr>
      <t xml:space="preserve"> </t>
    </r>
    <r>
      <rPr>
        <b/>
        <sz val="22"/>
        <rFont val="Calibri"/>
        <family val="2"/>
        <scheme val="minor"/>
      </rPr>
      <t>pre OSZZS</t>
    </r>
  </si>
  <si>
    <t>Alternatíva B: pre VšZP</t>
  </si>
  <si>
    <t>inštitúcia</t>
  </si>
  <si>
    <t xml:space="preserve">15 ročný nový nájom </t>
  </si>
  <si>
    <t>investicia 15 rokov</t>
  </si>
  <si>
    <t>fit out contribution</t>
  </si>
  <si>
    <t>Ministerstvo zdravotníctva</t>
  </si>
  <si>
    <t xml:space="preserve">OSZZS </t>
  </si>
  <si>
    <t>spolu</t>
  </si>
  <si>
    <t>VSZP</t>
  </si>
  <si>
    <t>Mamatejevova</t>
  </si>
  <si>
    <t>Ondavska</t>
  </si>
  <si>
    <t>Nevyhnutné investície na udržanie budovy v prevádzkyschopnom stave</t>
  </si>
  <si>
    <t>Ročný prepočet</t>
  </si>
  <si>
    <t>15 ročný prepočet</t>
  </si>
  <si>
    <r>
      <t>úspora na 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bez predaja budovy NCZI</t>
    </r>
  </si>
  <si>
    <t>ročná úspora bez predaja budovy NCZI</t>
  </si>
  <si>
    <t>Investícia ročne (15 rokov)</t>
  </si>
  <si>
    <t>Ročné náklady spolu</t>
  </si>
  <si>
    <t>predaj budovy NCZI (ročne)</t>
  </si>
  <si>
    <t>ročná úspora s predajom budovy NCZI</t>
  </si>
  <si>
    <r>
      <t>úspora na 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s predajom budovy NCZI</t>
    </r>
  </si>
  <si>
    <t>Investícia ročne 
(15 rokov)</t>
  </si>
  <si>
    <t>s dph</t>
  </si>
  <si>
    <t>fitout contribution</t>
  </si>
  <si>
    <t xml:space="preserve">na celý kontrakt- nájom </t>
  </si>
  <si>
    <t xml:space="preserve">ročný prepočet </t>
  </si>
  <si>
    <t>dostupné v polke kontraktu po 7 rokoch</t>
  </si>
  <si>
    <t>Spolu VšZP Status quo bez DPH</t>
  </si>
  <si>
    <t>ročná úspora bez predaja budovy Mamatejovova a Ondavská</t>
  </si>
  <si>
    <r>
      <t>úspora na 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bez predaja budovy Mamatejovova a Ondavská</t>
    </r>
  </si>
  <si>
    <t>Predaj budovy Mamatejovova</t>
  </si>
  <si>
    <t>Predaj budovy Ondavská</t>
  </si>
  <si>
    <t>Celkový sumár bez predaja budov</t>
  </si>
  <si>
    <t>Celkový sumár s predajom budov</t>
  </si>
  <si>
    <t>Fit out contribution</t>
  </si>
  <si>
    <t>VŠZP</t>
  </si>
  <si>
    <t>inflačná doložka úprava - po 10 rokoch</t>
  </si>
  <si>
    <t>Náklady ročne</t>
  </si>
  <si>
    <t>Nové náklady ročne</t>
  </si>
  <si>
    <t>Spolu VšZP Status quo s DPH + investície na udržanie</t>
  </si>
  <si>
    <t>Spolu NCZI Status quo s DPH + investície na udržanie</t>
  </si>
  <si>
    <t>Spolu MZ SR Status quo s DPH + investície na udržanie</t>
  </si>
  <si>
    <t>Úspory na 15 rokov</t>
  </si>
  <si>
    <t>Investícia Lazaretská</t>
  </si>
  <si>
    <t xml:space="preserve">Investícia Limbová </t>
  </si>
  <si>
    <t>Investícia Mamatejova</t>
  </si>
  <si>
    <t>Investícia Ondavská</t>
  </si>
  <si>
    <t>Celkové prevádzkové výdavky s investíciami s DPH</t>
  </si>
  <si>
    <t>Total</t>
  </si>
  <si>
    <t>ALTERNATÍVA A - Celk. prevádz. výdav. s invest. s DPH</t>
  </si>
  <si>
    <t>ALTERNATÍVA B - Celk. prevádz. výdav. s invest. s DPH</t>
  </si>
  <si>
    <t>ALTERNATÍVA C - Celk. prevádz. výdav. s invest. s DPH</t>
  </si>
  <si>
    <t>Bez predaju budov</t>
  </si>
  <si>
    <t>Rozdiel Alt. A a Alt. C</t>
  </si>
  <si>
    <t>Investícia Limbová</t>
  </si>
  <si>
    <t>Total alternatíva A</t>
  </si>
  <si>
    <t xml:space="preserve">Total alternatíva C </t>
  </si>
  <si>
    <t>Fit out contribution (discount)</t>
  </si>
  <si>
    <t>Celkové prevádzkové výdavky po fit out contribution</t>
  </si>
  <si>
    <t>Celkové prevádzkové výdavky s DPH po fit out contribution</t>
  </si>
  <si>
    <t>Total Spolu VšZP Status quo s DPH</t>
  </si>
  <si>
    <t>Náklady ročne s DPH</t>
  </si>
  <si>
    <t>Investícia ročne 
s DPH (15 rokov)</t>
  </si>
  <si>
    <t>Nový nájom ročne s DPH</t>
  </si>
  <si>
    <t>15 ročné náklady spolu</t>
  </si>
  <si>
    <t>15 ročné náklady spolu (s predajom)</t>
  </si>
  <si>
    <t>Celková úspora bez predaja budov:</t>
  </si>
  <si>
    <t>Celková úspora s  predajom budov:</t>
  </si>
  <si>
    <t>Nevyhnutné investície na udržanie budovy v prevádzkyschopnom stave - Ondavská s DPH</t>
  </si>
  <si>
    <t>Nevyhnutné investície na udržanie budovy v prevádzkyschopnom stave - Mamateyova - s DPH</t>
  </si>
  <si>
    <t>Nevyhnutné investície na udržanie budovy v prevádzkyschopnom stave - Mamateyova - bez DPH</t>
  </si>
  <si>
    <t>Nevyhnutné investície na udržanie budovy v prevádzkyschopnom stave - Ondavská - bez DPH</t>
  </si>
  <si>
    <t>Predaj budovy Lazaretská</t>
  </si>
  <si>
    <t>Celkové prevádzkové výdavky s investíciami s DPH a predajom budovy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</si>
</sst>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-* #,##0.00\ _€_-;\-* #,##0.00\ _€_-;_-* &quot;-&quot;??\ _€_-;_-@_-"/>
    <numFmt numFmtId="165" formatCode="_(* #,##0.00_);_(* \(#,##0.00\);_(* &quot;-&quot;??_);_(@_)"/>
    <numFmt numFmtId="166" formatCode="_-* #,##0_-;\-* #,##0_-;_-* &quot;-&quot;??_-;_-@_-"/>
    <numFmt numFmtId="167" formatCode="#,##0_ ;[Red]\-#,##0\ "/>
    <numFmt numFmtId="168" formatCode="0.0"/>
    <numFmt numFmtId="169" formatCode="[h]:mm"/>
    <numFmt numFmtId="170" formatCode="_-* #,##0.000_-;\-* #,##0.000_-;_-* &quot;-&quot;??_-;_-@_-"/>
    <numFmt numFmtId="171" formatCode="_ * #,##0.00_)\ _€_ ;_ * \(#,##0.00\)\ _€_ ;_ * &quot;-&quot;??_)\ _€_ ;_ @_ "/>
    <numFmt numFmtId="172" formatCode="#,##0.00\ &quot;€&quot;"/>
    <numFmt numFmtId="173" formatCode="#,##0\ &quot;€&quot;"/>
    <numFmt numFmtId="174" formatCode="#,##0.0000\ &quot;€&quot;"/>
    <numFmt numFmtId="175" formatCode="#,##0.00000\ &quot;€&quot;"/>
  </numFmts>
  <fonts count="4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Arial Narrow"/>
      <family val="2"/>
      <charset val="238"/>
    </font>
    <font>
      <b/>
      <sz val="10"/>
      <color theme="1"/>
      <name val="Arial Narrow"/>
      <family val="2"/>
      <charset val="238"/>
    </font>
    <font>
      <i/>
      <sz val="10"/>
      <name val="Arial Narrow"/>
      <family val="2"/>
      <charset val="238"/>
    </font>
    <font>
      <i/>
      <sz val="10"/>
      <color theme="0" tint="-0.499984740745262"/>
      <name val="Arial Narrow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</font>
    <font>
      <i/>
      <sz val="11"/>
      <color indexed="23"/>
      <name val="Calibri"/>
      <family val="2"/>
    </font>
    <font>
      <sz val="10"/>
      <name val="Arial"/>
      <family val="2"/>
      <charset val="238"/>
    </font>
    <font>
      <sz val="10"/>
      <name val="Arial Narrow"/>
      <family val="2"/>
      <charset val="238"/>
    </font>
    <font>
      <b/>
      <sz val="10"/>
      <name val="Arial Narrow"/>
      <family val="2"/>
      <charset val="238"/>
    </font>
    <font>
      <b/>
      <sz val="10"/>
      <color rgb="FFFF0000"/>
      <name val="Arial Narrow"/>
      <family val="2"/>
      <charset val="238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charset val="238"/>
      <scheme val="minor"/>
    </font>
    <font>
      <sz val="16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22"/>
      <name val="Calibri"/>
      <family val="2"/>
      <charset val="238"/>
      <scheme val="minor"/>
    </font>
    <font>
      <b/>
      <sz val="2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BE17D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151">
    <border>
      <left/>
      <right/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hair">
        <color theme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theme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hair">
        <color theme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theme="1"/>
      </right>
      <top style="hair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thick">
        <color auto="1"/>
      </top>
      <bottom style="thick">
        <color auto="1"/>
      </bottom>
      <diagonal/>
    </border>
    <border>
      <left/>
      <right style="medium">
        <color indexed="64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auto="1"/>
      </top>
      <bottom/>
      <diagonal/>
    </border>
    <border>
      <left/>
      <right style="medium">
        <color indexed="64"/>
      </right>
      <top style="thick">
        <color auto="1"/>
      </top>
      <bottom/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 style="hair">
        <color theme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theme="1"/>
      </right>
      <top style="medium">
        <color indexed="64"/>
      </top>
      <bottom style="hair">
        <color auto="1"/>
      </bottom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thick">
        <color auto="1"/>
      </bottom>
      <diagonal/>
    </border>
    <border>
      <left style="medium">
        <color indexed="64"/>
      </left>
      <right style="hair">
        <color auto="1"/>
      </right>
      <top/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 style="hair">
        <color theme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theme="1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 style="thick">
        <color auto="1"/>
      </top>
      <bottom/>
      <diagonal/>
    </border>
    <border>
      <left style="hair">
        <color auto="1"/>
      </left>
      <right/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/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thick">
        <color auto="1"/>
      </right>
      <top/>
      <bottom/>
      <diagonal/>
    </border>
    <border>
      <left/>
      <right style="hair">
        <color auto="1"/>
      </right>
      <top/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</cellStyleXfs>
  <cellXfs count="667">
    <xf numFmtId="0" fontId="0" fillId="0" borderId="0" xfId="0"/>
    <xf numFmtId="0" fontId="2" fillId="0" borderId="0" xfId="0" applyFont="1"/>
    <xf numFmtId="0" fontId="3" fillId="0" borderId="0" xfId="0" applyFont="1"/>
    <xf numFmtId="9" fontId="5" fillId="0" borderId="0" xfId="2" applyFont="1"/>
    <xf numFmtId="166" fontId="2" fillId="2" borderId="0" xfId="1" applyNumberFormat="1" applyFont="1" applyFill="1"/>
    <xf numFmtId="166" fontId="3" fillId="2" borderId="0" xfId="1" applyNumberFormat="1" applyFont="1" applyFill="1"/>
    <xf numFmtId="0" fontId="11" fillId="0" borderId="0" xfId="3" applyFont="1"/>
    <xf numFmtId="0" fontId="5" fillId="0" borderId="0" xfId="0" applyFont="1" applyAlignment="1">
      <alignment horizontal="right"/>
    </xf>
    <xf numFmtId="166" fontId="5" fillId="0" borderId="0" xfId="0" applyNumberFormat="1" applyFont="1"/>
    <xf numFmtId="0" fontId="12" fillId="0" borderId="0" xfId="3" applyFont="1"/>
    <xf numFmtId="0" fontId="12" fillId="0" borderId="0" xfId="3" applyFont="1" applyAlignment="1">
      <alignment horizontal="center"/>
    </xf>
    <xf numFmtId="0" fontId="12" fillId="3" borderId="0" xfId="3" applyFont="1" applyFill="1" applyAlignment="1">
      <alignment horizontal="left"/>
    </xf>
    <xf numFmtId="0" fontId="12" fillId="3" borderId="0" xfId="3" applyFont="1" applyFill="1" applyAlignment="1">
      <alignment horizontal="center" wrapText="1"/>
    </xf>
    <xf numFmtId="0" fontId="11" fillId="0" borderId="0" xfId="3" applyFont="1" applyAlignment="1">
      <alignment horizontal="left"/>
    </xf>
    <xf numFmtId="0" fontId="11" fillId="0" borderId="0" xfId="3" applyFont="1" applyAlignment="1">
      <alignment horizontal="center" wrapText="1"/>
    </xf>
    <xf numFmtId="1" fontId="11" fillId="5" borderId="0" xfId="3" applyNumberFormat="1" applyFont="1" applyFill="1" applyAlignment="1">
      <alignment horizontal="center" vertical="center" wrapText="1"/>
    </xf>
    <xf numFmtId="9" fontId="11" fillId="0" borderId="0" xfId="2" applyFont="1" applyBorder="1" applyAlignment="1">
      <alignment horizontal="center"/>
    </xf>
    <xf numFmtId="3" fontId="11" fillId="0" borderId="0" xfId="3" applyNumberFormat="1" applyFont="1"/>
    <xf numFmtId="0" fontId="11" fillId="0" borderId="0" xfId="3" applyFont="1" applyAlignment="1">
      <alignment horizontal="center"/>
    </xf>
    <xf numFmtId="9" fontId="11" fillId="0" borderId="0" xfId="7" applyFont="1" applyBorder="1" applyAlignment="1">
      <alignment horizontal="center"/>
    </xf>
    <xf numFmtId="3" fontId="12" fillId="0" borderId="0" xfId="3" applyNumberFormat="1" applyFont="1"/>
    <xf numFmtId="0" fontId="12" fillId="2" borderId="0" xfId="3" applyFont="1" applyFill="1" applyAlignment="1">
      <alignment horizontal="left"/>
    </xf>
    <xf numFmtId="0" fontId="12" fillId="2" borderId="0" xfId="3" applyFont="1" applyFill="1" applyAlignment="1">
      <alignment horizontal="center" wrapText="1"/>
    </xf>
    <xf numFmtId="0" fontId="12" fillId="3" borderId="0" xfId="3" applyFont="1" applyFill="1"/>
    <xf numFmtId="0" fontId="4" fillId="3" borderId="0" xfId="3" applyFont="1" applyFill="1"/>
    <xf numFmtId="166" fontId="2" fillId="0" borderId="0" xfId="1" applyNumberFormat="1" applyFont="1" applyBorder="1"/>
    <xf numFmtId="3" fontId="12" fillId="2" borderId="0" xfId="3" applyNumberFormat="1" applyFont="1" applyFill="1"/>
    <xf numFmtId="0" fontId="4" fillId="0" borderId="0" xfId="3" applyFont="1"/>
    <xf numFmtId="0" fontId="7" fillId="0" borderId="0" xfId="3" applyFont="1"/>
    <xf numFmtId="166" fontId="2" fillId="0" borderId="0" xfId="0" applyNumberFormat="1" applyFont="1"/>
    <xf numFmtId="0" fontId="13" fillId="0" borderId="0" xfId="3" applyFont="1"/>
    <xf numFmtId="167" fontId="11" fillId="0" borderId="0" xfId="3" applyNumberFormat="1" applyFont="1"/>
    <xf numFmtId="0" fontId="11" fillId="3" borderId="0" xfId="3" applyFont="1" applyFill="1" applyAlignment="1">
      <alignment horizontal="center"/>
    </xf>
    <xf numFmtId="3" fontId="11" fillId="2" borderId="0" xfId="3" applyNumberFormat="1" applyFont="1" applyFill="1"/>
    <xf numFmtId="3" fontId="11" fillId="4" borderId="0" xfId="3" applyNumberFormat="1" applyFont="1" applyFill="1"/>
    <xf numFmtId="167" fontId="11" fillId="2" borderId="0" xfId="3" applyNumberFormat="1" applyFont="1" applyFill="1"/>
    <xf numFmtId="0" fontId="2" fillId="0" borderId="0" xfId="0" applyFont="1" applyAlignment="1">
      <alignment horizontal="center"/>
    </xf>
    <xf numFmtId="0" fontId="14" fillId="0" borderId="0" xfId="3" applyFont="1"/>
    <xf numFmtId="0" fontId="15" fillId="0" borderId="0" xfId="3" applyFont="1"/>
    <xf numFmtId="0" fontId="16" fillId="0" borderId="0" xfId="3" applyFont="1"/>
    <xf numFmtId="0" fontId="19" fillId="0" borderId="0" xfId="3" applyFont="1"/>
    <xf numFmtId="0" fontId="20" fillId="9" borderId="13" xfId="0" applyFont="1" applyFill="1" applyBorder="1" applyAlignment="1">
      <alignment wrapText="1"/>
    </xf>
    <xf numFmtId="0" fontId="18" fillId="11" borderId="37" xfId="3" applyFont="1" applyFill="1" applyBorder="1"/>
    <xf numFmtId="0" fontId="18" fillId="11" borderId="11" xfId="3" applyFont="1" applyFill="1" applyBorder="1"/>
    <xf numFmtId="0" fontId="15" fillId="12" borderId="39" xfId="3" applyFont="1" applyFill="1" applyBorder="1"/>
    <xf numFmtId="0" fontId="16" fillId="12" borderId="39" xfId="3" applyFont="1" applyFill="1" applyBorder="1"/>
    <xf numFmtId="0" fontId="16" fillId="12" borderId="40" xfId="3" applyFont="1" applyFill="1" applyBorder="1"/>
    <xf numFmtId="0" fontId="20" fillId="11" borderId="0" xfId="0" applyFont="1" applyFill="1" applyAlignment="1">
      <alignment wrapText="1"/>
    </xf>
    <xf numFmtId="0" fontId="20" fillId="11" borderId="20" xfId="0" applyFont="1" applyFill="1" applyBorder="1" applyAlignment="1">
      <alignment wrapText="1"/>
    </xf>
    <xf numFmtId="0" fontId="17" fillId="8" borderId="48" xfId="0" applyFont="1" applyFill="1" applyBorder="1"/>
    <xf numFmtId="43" fontId="17" fillId="8" borderId="5" xfId="1" applyFont="1" applyFill="1" applyBorder="1"/>
    <xf numFmtId="0" fontId="14" fillId="0" borderId="0" xfId="0" applyFont="1"/>
    <xf numFmtId="0" fontId="15" fillId="0" borderId="0" xfId="0" applyFont="1"/>
    <xf numFmtId="43" fontId="14" fillId="0" borderId="0" xfId="1" applyFont="1"/>
    <xf numFmtId="0" fontId="14" fillId="0" borderId="0" xfId="2" applyNumberFormat="1" applyFont="1"/>
    <xf numFmtId="2" fontId="14" fillId="0" borderId="0" xfId="0" applyNumberFormat="1" applyFont="1"/>
    <xf numFmtId="0" fontId="20" fillId="9" borderId="25" xfId="0" applyFont="1" applyFill="1" applyBorder="1" applyAlignment="1">
      <alignment wrapText="1"/>
    </xf>
    <xf numFmtId="43" fontId="14" fillId="9" borderId="25" xfId="1" applyFont="1" applyFill="1" applyBorder="1"/>
    <xf numFmtId="0" fontId="14" fillId="9" borderId="27" xfId="0" applyFont="1" applyFill="1" applyBorder="1"/>
    <xf numFmtId="0" fontId="24" fillId="3" borderId="46" xfId="0" applyFont="1" applyFill="1" applyBorder="1"/>
    <xf numFmtId="43" fontId="14" fillId="3" borderId="47" xfId="1" applyFont="1" applyFill="1" applyBorder="1"/>
    <xf numFmtId="0" fontId="14" fillId="8" borderId="48" xfId="0" applyFont="1" applyFill="1" applyBorder="1"/>
    <xf numFmtId="43" fontId="15" fillId="8" borderId="5" xfId="1" applyFont="1" applyFill="1" applyBorder="1"/>
    <xf numFmtId="0" fontId="14" fillId="8" borderId="6" xfId="0" applyFont="1" applyFill="1" applyBorder="1"/>
    <xf numFmtId="168" fontId="14" fillId="0" borderId="0" xfId="0" applyNumberFormat="1" applyFont="1"/>
    <xf numFmtId="43" fontId="14" fillId="8" borderId="5" xfId="1" applyFont="1" applyFill="1" applyBorder="1"/>
    <xf numFmtId="0" fontId="15" fillId="8" borderId="48" xfId="0" applyFont="1" applyFill="1" applyBorder="1"/>
    <xf numFmtId="0" fontId="24" fillId="3" borderId="48" xfId="0" applyFont="1" applyFill="1" applyBorder="1"/>
    <xf numFmtId="43" fontId="19" fillId="3" borderId="5" xfId="1" applyFont="1" applyFill="1" applyBorder="1"/>
    <xf numFmtId="170" fontId="15" fillId="8" borderId="5" xfId="1" applyNumberFormat="1" applyFont="1" applyFill="1" applyBorder="1"/>
    <xf numFmtId="0" fontId="14" fillId="8" borderId="5" xfId="2" applyNumberFormat="1" applyFont="1" applyFill="1" applyBorder="1"/>
    <xf numFmtId="0" fontId="14" fillId="8" borderId="49" xfId="0" applyFont="1" applyFill="1" applyBorder="1"/>
    <xf numFmtId="43" fontId="14" fillId="8" borderId="50" xfId="1" applyFont="1" applyFill="1" applyBorder="1"/>
    <xf numFmtId="0" fontId="14" fillId="8" borderId="52" xfId="0" applyFont="1" applyFill="1" applyBorder="1"/>
    <xf numFmtId="0" fontId="14" fillId="9" borderId="26" xfId="0" applyFont="1" applyFill="1" applyBorder="1"/>
    <xf numFmtId="0" fontId="20" fillId="9" borderId="0" xfId="0" applyFont="1" applyFill="1" applyAlignment="1">
      <alignment horizontal="right" vertical="top"/>
    </xf>
    <xf numFmtId="43" fontId="14" fillId="11" borderId="0" xfId="1" applyFont="1" applyFill="1" applyBorder="1"/>
    <xf numFmtId="0" fontId="14" fillId="11" borderId="19" xfId="0" applyFont="1" applyFill="1" applyBorder="1"/>
    <xf numFmtId="0" fontId="14" fillId="10" borderId="48" xfId="0" applyFont="1" applyFill="1" applyBorder="1"/>
    <xf numFmtId="43" fontId="14" fillId="10" borderId="5" xfId="1" applyFont="1" applyFill="1" applyBorder="1"/>
    <xf numFmtId="0" fontId="14" fillId="10" borderId="6" xfId="0" applyFont="1" applyFill="1" applyBorder="1"/>
    <xf numFmtId="0" fontId="17" fillId="10" borderId="48" xfId="0" applyFont="1" applyFill="1" applyBorder="1"/>
    <xf numFmtId="43" fontId="17" fillId="10" borderId="5" xfId="1" applyFont="1" applyFill="1" applyBorder="1"/>
    <xf numFmtId="0" fontId="15" fillId="10" borderId="48" xfId="0" applyFont="1" applyFill="1" applyBorder="1"/>
    <xf numFmtId="43" fontId="25" fillId="3" borderId="5" xfId="1" applyFont="1" applyFill="1" applyBorder="1"/>
    <xf numFmtId="0" fontId="14" fillId="10" borderId="5" xfId="2" applyNumberFormat="1" applyFont="1" applyFill="1" applyBorder="1"/>
    <xf numFmtId="43" fontId="15" fillId="10" borderId="5" xfId="1" applyFont="1" applyFill="1" applyBorder="1"/>
    <xf numFmtId="0" fontId="14" fillId="10" borderId="49" xfId="0" applyFont="1" applyFill="1" applyBorder="1"/>
    <xf numFmtId="43" fontId="14" fillId="10" borderId="50" xfId="1" applyFont="1" applyFill="1" applyBorder="1"/>
    <xf numFmtId="0" fontId="14" fillId="10" borderId="52" xfId="0" applyFont="1" applyFill="1" applyBorder="1"/>
    <xf numFmtId="0" fontId="20" fillId="11" borderId="20" xfId="0" applyFont="1" applyFill="1" applyBorder="1" applyAlignment="1">
      <alignment horizontal="right" vertical="top"/>
    </xf>
    <xf numFmtId="43" fontId="20" fillId="11" borderId="20" xfId="1" applyFont="1" applyFill="1" applyBorder="1" applyAlignment="1">
      <alignment vertical="top"/>
    </xf>
    <xf numFmtId="0" fontId="20" fillId="11" borderId="44" xfId="0" applyFont="1" applyFill="1" applyBorder="1" applyAlignment="1">
      <alignment vertical="top"/>
    </xf>
    <xf numFmtId="0" fontId="14" fillId="0" borderId="0" xfId="0" applyFont="1" applyAlignment="1">
      <alignment vertical="top"/>
    </xf>
    <xf numFmtId="0" fontId="15" fillId="8" borderId="46" xfId="0" applyFont="1" applyFill="1" applyBorder="1"/>
    <xf numFmtId="43" fontId="14" fillId="8" borderId="47" xfId="1" applyFont="1" applyFill="1" applyBorder="1"/>
    <xf numFmtId="0" fontId="14" fillId="8" borderId="51" xfId="0" applyFont="1" applyFill="1" applyBorder="1"/>
    <xf numFmtId="165" fontId="14" fillId="0" borderId="0" xfId="0" applyNumberFormat="1" applyFont="1"/>
    <xf numFmtId="164" fontId="14" fillId="0" borderId="0" xfId="0" applyNumberFormat="1" applyFont="1"/>
    <xf numFmtId="43" fontId="14" fillId="8" borderId="5" xfId="1" applyFont="1" applyFill="1" applyBorder="1" applyAlignment="1">
      <alignment horizontal="right"/>
    </xf>
    <xf numFmtId="43" fontId="14" fillId="8" borderId="5" xfId="1" applyFont="1" applyFill="1" applyBorder="1" applyAlignment="1">
      <alignment horizontal="center" vertical="center"/>
    </xf>
    <xf numFmtId="43" fontId="14" fillId="6" borderId="0" xfId="1" applyFont="1" applyFill="1" applyAlignment="1">
      <alignment horizontal="center" vertical="center"/>
    </xf>
    <xf numFmtId="43" fontId="14" fillId="0" borderId="0" xfId="1" applyFont="1" applyFill="1" applyAlignment="1">
      <alignment horizontal="center" vertical="center"/>
    </xf>
    <xf numFmtId="0" fontId="14" fillId="8" borderId="5" xfId="0" applyFont="1" applyFill="1" applyBorder="1"/>
    <xf numFmtId="9" fontId="14" fillId="8" borderId="5" xfId="2" applyFont="1" applyFill="1" applyBorder="1"/>
    <xf numFmtId="43" fontId="14" fillId="0" borderId="0" xfId="1" applyFont="1" applyFill="1"/>
    <xf numFmtId="0" fontId="21" fillId="8" borderId="5" xfId="0" applyFont="1" applyFill="1" applyBorder="1"/>
    <xf numFmtId="165" fontId="14" fillId="8" borderId="5" xfId="0" applyNumberFormat="1" applyFont="1" applyFill="1" applyBorder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69" fontId="14" fillId="0" borderId="0" xfId="0" applyNumberFormat="1" applyFont="1" applyAlignment="1">
      <alignment horizontal="center"/>
    </xf>
    <xf numFmtId="171" fontId="20" fillId="9" borderId="0" xfId="0" applyNumberFormat="1" applyFont="1" applyFill="1" applyAlignment="1">
      <alignment vertical="top"/>
    </xf>
    <xf numFmtId="0" fontId="20" fillId="9" borderId="19" xfId="0" applyFont="1" applyFill="1" applyBorder="1" applyAlignment="1">
      <alignment vertical="top"/>
    </xf>
    <xf numFmtId="0" fontId="15" fillId="10" borderId="46" xfId="0" applyFont="1" applyFill="1" applyBorder="1"/>
    <xf numFmtId="43" fontId="14" fillId="10" borderId="47" xfId="1" applyFont="1" applyFill="1" applyBorder="1"/>
    <xf numFmtId="0" fontId="14" fillId="10" borderId="51" xfId="0" applyFont="1" applyFill="1" applyBorder="1"/>
    <xf numFmtId="43" fontId="14" fillId="10" borderId="5" xfId="1" applyFont="1" applyFill="1" applyBorder="1" applyAlignment="1">
      <alignment horizontal="right"/>
    </xf>
    <xf numFmtId="43" fontId="14" fillId="10" borderId="5" xfId="1" applyFont="1" applyFill="1" applyBorder="1" applyAlignment="1">
      <alignment horizontal="center" vertical="center"/>
    </xf>
    <xf numFmtId="43" fontId="14" fillId="7" borderId="0" xfId="1" applyFont="1" applyFill="1" applyAlignment="1">
      <alignment horizontal="center" vertical="center"/>
    </xf>
    <xf numFmtId="0" fontId="14" fillId="10" borderId="5" xfId="0" applyFont="1" applyFill="1" applyBorder="1"/>
    <xf numFmtId="9" fontId="14" fillId="10" borderId="5" xfId="2" applyFont="1" applyFill="1" applyBorder="1"/>
    <xf numFmtId="0" fontId="21" fillId="10" borderId="5" xfId="0" applyFont="1" applyFill="1" applyBorder="1"/>
    <xf numFmtId="165" fontId="14" fillId="10" borderId="5" xfId="0" applyNumberFormat="1" applyFont="1" applyFill="1" applyBorder="1"/>
    <xf numFmtId="43" fontId="14" fillId="9" borderId="13" xfId="1" applyFont="1" applyFill="1" applyBorder="1"/>
    <xf numFmtId="0" fontId="14" fillId="9" borderId="14" xfId="0" applyFont="1" applyFill="1" applyBorder="1"/>
    <xf numFmtId="0" fontId="15" fillId="8" borderId="10" xfId="0" applyFont="1" applyFill="1" applyBorder="1"/>
    <xf numFmtId="43" fontId="14" fillId="8" borderId="11" xfId="1" applyFont="1" applyFill="1" applyBorder="1"/>
    <xf numFmtId="0" fontId="14" fillId="8" borderId="12" xfId="0" applyFont="1" applyFill="1" applyBorder="1"/>
    <xf numFmtId="0" fontId="14" fillId="8" borderId="4" xfId="0" applyFont="1" applyFill="1" applyBorder="1"/>
    <xf numFmtId="0" fontId="15" fillId="8" borderId="4" xfId="0" applyFont="1" applyFill="1" applyBorder="1"/>
    <xf numFmtId="0" fontId="14" fillId="8" borderId="7" xfId="0" applyFont="1" applyFill="1" applyBorder="1"/>
    <xf numFmtId="43" fontId="14" fillId="8" borderId="8" xfId="1" applyFont="1" applyFill="1" applyBorder="1"/>
    <xf numFmtId="0" fontId="14" fillId="8" borderId="9" xfId="0" applyFont="1" applyFill="1" applyBorder="1"/>
    <xf numFmtId="0" fontId="20" fillId="9" borderId="25" xfId="0" applyFont="1" applyFill="1" applyBorder="1" applyAlignment="1">
      <alignment horizontal="right" vertical="top"/>
    </xf>
    <xf numFmtId="171" fontId="20" fillId="9" borderId="25" xfId="0" applyNumberFormat="1" applyFont="1" applyFill="1" applyBorder="1" applyAlignment="1">
      <alignment vertical="top"/>
    </xf>
    <xf numFmtId="0" fontId="20" fillId="9" borderId="27" xfId="0" applyFont="1" applyFill="1" applyBorder="1" applyAlignment="1">
      <alignment vertical="top"/>
    </xf>
    <xf numFmtId="43" fontId="14" fillId="11" borderId="20" xfId="1" applyFont="1" applyFill="1" applyBorder="1"/>
    <xf numFmtId="0" fontId="14" fillId="11" borderId="44" xfId="0" applyFont="1" applyFill="1" applyBorder="1"/>
    <xf numFmtId="0" fontId="15" fillId="10" borderId="1" xfId="0" applyFont="1" applyFill="1" applyBorder="1"/>
    <xf numFmtId="43" fontId="14" fillId="10" borderId="2" xfId="1" applyFont="1" applyFill="1" applyBorder="1"/>
    <xf numFmtId="0" fontId="14" fillId="10" borderId="3" xfId="0" applyFont="1" applyFill="1" applyBorder="1"/>
    <xf numFmtId="0" fontId="14" fillId="10" borderId="4" xfId="0" applyFont="1" applyFill="1" applyBorder="1"/>
    <xf numFmtId="0" fontId="15" fillId="10" borderId="4" xfId="0" applyFont="1" applyFill="1" applyBorder="1"/>
    <xf numFmtId="0" fontId="14" fillId="10" borderId="28" xfId="0" applyFont="1" applyFill="1" applyBorder="1"/>
    <xf numFmtId="43" fontId="14" fillId="10" borderId="29" xfId="1" applyFont="1" applyFill="1" applyBorder="1"/>
    <xf numFmtId="0" fontId="14" fillId="10" borderId="30" xfId="0" applyFont="1" applyFill="1" applyBorder="1"/>
    <xf numFmtId="166" fontId="14" fillId="8" borderId="5" xfId="1" applyNumberFormat="1" applyFont="1" applyFill="1" applyBorder="1"/>
    <xf numFmtId="166" fontId="14" fillId="10" borderId="5" xfId="1" applyNumberFormat="1" applyFont="1" applyFill="1" applyBorder="1"/>
    <xf numFmtId="166" fontId="14" fillId="8" borderId="31" xfId="1" applyNumberFormat="1" applyFont="1" applyFill="1" applyBorder="1"/>
    <xf numFmtId="166" fontId="14" fillId="8" borderId="32" xfId="1" applyNumberFormat="1" applyFont="1" applyFill="1" applyBorder="1"/>
    <xf numFmtId="166" fontId="14" fillId="8" borderId="17" xfId="1" applyNumberFormat="1" applyFont="1" applyFill="1" applyBorder="1"/>
    <xf numFmtId="166" fontId="14" fillId="10" borderId="17" xfId="1" applyNumberFormat="1" applyFont="1" applyFill="1" applyBorder="1"/>
    <xf numFmtId="0" fontId="24" fillId="2" borderId="46" xfId="0" applyFont="1" applyFill="1" applyBorder="1"/>
    <xf numFmtId="43" fontId="19" fillId="2" borderId="47" xfId="1" applyFont="1" applyFill="1" applyBorder="1" applyAlignment="1">
      <alignment horizontal="right"/>
    </xf>
    <xf numFmtId="0" fontId="19" fillId="2" borderId="51" xfId="0" applyFont="1" applyFill="1" applyBorder="1"/>
    <xf numFmtId="0" fontId="14" fillId="14" borderId="27" xfId="0" applyFont="1" applyFill="1" applyBorder="1"/>
    <xf numFmtId="0" fontId="14" fillId="15" borderId="48" xfId="0" applyFont="1" applyFill="1" applyBorder="1"/>
    <xf numFmtId="43" fontId="33" fillId="15" borderId="5" xfId="1" applyFont="1" applyFill="1" applyBorder="1"/>
    <xf numFmtId="0" fontId="14" fillId="15" borderId="6" xfId="0" applyFont="1" applyFill="1" applyBorder="1"/>
    <xf numFmtId="0" fontId="17" fillId="15" borderId="48" xfId="0" applyFont="1" applyFill="1" applyBorder="1"/>
    <xf numFmtId="43" fontId="26" fillId="15" borderId="5" xfId="1" applyFont="1" applyFill="1" applyBorder="1"/>
    <xf numFmtId="0" fontId="17" fillId="15" borderId="6" xfId="0" applyFont="1" applyFill="1" applyBorder="1"/>
    <xf numFmtId="0" fontId="15" fillId="15" borderId="48" xfId="0" applyFont="1" applyFill="1" applyBorder="1"/>
    <xf numFmtId="43" fontId="32" fillId="15" borderId="5" xfId="1" applyFont="1" applyFill="1" applyBorder="1"/>
    <xf numFmtId="170" fontId="33" fillId="15" borderId="5" xfId="1" applyNumberFormat="1" applyFont="1" applyFill="1" applyBorder="1"/>
    <xf numFmtId="170" fontId="34" fillId="15" borderId="5" xfId="1" applyNumberFormat="1" applyFont="1" applyFill="1" applyBorder="1"/>
    <xf numFmtId="43" fontId="34" fillId="15" borderId="5" xfId="1" applyFont="1" applyFill="1" applyBorder="1"/>
    <xf numFmtId="0" fontId="32" fillId="15" borderId="5" xfId="2" applyNumberFormat="1" applyFont="1" applyFill="1" applyBorder="1"/>
    <xf numFmtId="0" fontId="14" fillId="15" borderId="49" xfId="0" applyFont="1" applyFill="1" applyBorder="1"/>
    <xf numFmtId="43" fontId="32" fillId="15" borderId="50" xfId="1" applyFont="1" applyFill="1" applyBorder="1"/>
    <xf numFmtId="0" fontId="14" fillId="15" borderId="52" xfId="0" applyFont="1" applyFill="1" applyBorder="1"/>
    <xf numFmtId="0" fontId="20" fillId="14" borderId="20" xfId="0" applyFont="1" applyFill="1" applyBorder="1" applyAlignment="1">
      <alignment horizontal="right" vertical="top"/>
    </xf>
    <xf numFmtId="164" fontId="20" fillId="14" borderId="20" xfId="2" applyNumberFormat="1" applyFont="1" applyFill="1" applyBorder="1" applyAlignment="1">
      <alignment vertical="top"/>
    </xf>
    <xf numFmtId="0" fontId="20" fillId="14" borderId="44" xfId="0" applyFont="1" applyFill="1" applyBorder="1" applyAlignment="1">
      <alignment horizontal="left" vertical="top"/>
    </xf>
    <xf numFmtId="0" fontId="14" fillId="17" borderId="48" xfId="0" applyFont="1" applyFill="1" applyBorder="1"/>
    <xf numFmtId="43" fontId="14" fillId="17" borderId="5" xfId="1" applyFont="1" applyFill="1" applyBorder="1"/>
    <xf numFmtId="0" fontId="17" fillId="17" borderId="48" xfId="0" applyFont="1" applyFill="1" applyBorder="1"/>
    <xf numFmtId="43" fontId="17" fillId="17" borderId="5" xfId="1" applyFont="1" applyFill="1" applyBorder="1"/>
    <xf numFmtId="170" fontId="33" fillId="17" borderId="5" xfId="1" applyNumberFormat="1" applyFont="1" applyFill="1" applyBorder="1"/>
    <xf numFmtId="43" fontId="33" fillId="17" borderId="5" xfId="1" applyFont="1" applyFill="1" applyBorder="1"/>
    <xf numFmtId="0" fontId="15" fillId="17" borderId="48" xfId="0" applyFont="1" applyFill="1" applyBorder="1"/>
    <xf numFmtId="43" fontId="26" fillId="17" borderId="5" xfId="1" applyFont="1" applyFill="1" applyBorder="1"/>
    <xf numFmtId="0" fontId="36" fillId="17" borderId="5" xfId="2" applyNumberFormat="1" applyFont="1" applyFill="1" applyBorder="1"/>
    <xf numFmtId="0" fontId="14" fillId="17" borderId="5" xfId="2" applyNumberFormat="1" applyFont="1" applyFill="1" applyBorder="1"/>
    <xf numFmtId="0" fontId="36" fillId="8" borderId="48" xfId="0" applyFont="1" applyFill="1" applyBorder="1"/>
    <xf numFmtId="43" fontId="37" fillId="8" borderId="5" xfId="1" applyFont="1" applyFill="1" applyBorder="1"/>
    <xf numFmtId="0" fontId="0" fillId="0" borderId="54" xfId="0" applyBorder="1"/>
    <xf numFmtId="0" fontId="38" fillId="9" borderId="54" xfId="0" applyFont="1" applyFill="1" applyBorder="1"/>
    <xf numFmtId="0" fontId="38" fillId="11" borderId="54" xfId="0" applyFont="1" applyFill="1" applyBorder="1"/>
    <xf numFmtId="0" fontId="38" fillId="16" borderId="54" xfId="0" applyFont="1" applyFill="1" applyBorder="1"/>
    <xf numFmtId="0" fontId="38" fillId="14" borderId="54" xfId="0" applyFont="1" applyFill="1" applyBorder="1"/>
    <xf numFmtId="0" fontId="39" fillId="17" borderId="48" xfId="0" applyFont="1" applyFill="1" applyBorder="1"/>
    <xf numFmtId="43" fontId="39" fillId="17" borderId="5" xfId="1" applyFont="1" applyFill="1" applyBorder="1"/>
    <xf numFmtId="0" fontId="41" fillId="0" borderId="0" xfId="0" applyFont="1" applyAlignment="1">
      <alignment horizontal="left" vertical="center"/>
    </xf>
    <xf numFmtId="172" fontId="14" fillId="0" borderId="0" xfId="0" applyNumberFormat="1" applyFont="1"/>
    <xf numFmtId="43" fontId="39" fillId="10" borderId="5" xfId="1" applyFont="1" applyFill="1" applyBorder="1"/>
    <xf numFmtId="172" fontId="14" fillId="0" borderId="0" xfId="3" applyNumberFormat="1" applyFont="1"/>
    <xf numFmtId="172" fontId="0" fillId="0" borderId="0" xfId="0" applyNumberFormat="1"/>
    <xf numFmtId="0" fontId="23" fillId="11" borderId="20" xfId="0" applyFont="1" applyFill="1" applyBorder="1" applyAlignment="1">
      <alignment horizontal="center" vertical="center" textRotation="90"/>
    </xf>
    <xf numFmtId="43" fontId="20" fillId="16" borderId="59" xfId="1" applyFont="1" applyFill="1" applyBorder="1" applyAlignment="1">
      <alignment vertical="top"/>
    </xf>
    <xf numFmtId="0" fontId="20" fillId="16" borderId="60" xfId="0" applyFont="1" applyFill="1" applyBorder="1" applyAlignment="1">
      <alignment vertical="top"/>
    </xf>
    <xf numFmtId="0" fontId="20" fillId="16" borderId="64" xfId="0" applyFont="1" applyFill="1" applyBorder="1" applyAlignment="1">
      <alignment horizontal="right" vertical="top"/>
    </xf>
    <xf numFmtId="43" fontId="20" fillId="16" borderId="64" xfId="1" applyFont="1" applyFill="1" applyBorder="1" applyAlignment="1">
      <alignment vertical="top"/>
    </xf>
    <xf numFmtId="0" fontId="20" fillId="16" borderId="65" xfId="0" applyFont="1" applyFill="1" applyBorder="1" applyAlignment="1">
      <alignment vertical="top"/>
    </xf>
    <xf numFmtId="0" fontId="20" fillId="16" borderId="58" xfId="0" applyFont="1" applyFill="1" applyBorder="1" applyAlignment="1">
      <alignment wrapText="1"/>
    </xf>
    <xf numFmtId="0" fontId="14" fillId="0" borderId="20" xfId="0" applyFont="1" applyBorder="1" applyAlignment="1">
      <alignment vertical="top"/>
    </xf>
    <xf numFmtId="0" fontId="20" fillId="0" borderId="0" xfId="0" applyFont="1" applyAlignment="1">
      <alignment horizontal="right" vertical="top"/>
    </xf>
    <xf numFmtId="43" fontId="20" fillId="0" borderId="0" xfId="1" applyFont="1" applyFill="1" applyBorder="1" applyAlignment="1">
      <alignment vertical="top"/>
    </xf>
    <xf numFmtId="0" fontId="20" fillId="0" borderId="20" xfId="0" applyFont="1" applyBorder="1" applyAlignment="1">
      <alignment vertical="top"/>
    </xf>
    <xf numFmtId="0" fontId="20" fillId="0" borderId="0" xfId="0" applyFont="1" applyAlignment="1">
      <alignment vertical="top"/>
    </xf>
    <xf numFmtId="0" fontId="24" fillId="17" borderId="46" xfId="0" applyFont="1" applyFill="1" applyBorder="1"/>
    <xf numFmtId="43" fontId="19" fillId="17" borderId="47" xfId="1" applyFont="1" applyFill="1" applyBorder="1" applyAlignment="1">
      <alignment horizontal="right"/>
    </xf>
    <xf numFmtId="170" fontId="14" fillId="17" borderId="5" xfId="1" applyNumberFormat="1" applyFont="1" applyFill="1" applyBorder="1"/>
    <xf numFmtId="0" fontId="14" fillId="17" borderId="49" xfId="0" applyFont="1" applyFill="1" applyBorder="1"/>
    <xf numFmtId="43" fontId="14" fillId="17" borderId="50" xfId="1" applyFont="1" applyFill="1" applyBorder="1"/>
    <xf numFmtId="0" fontId="23" fillId="0" borderId="20" xfId="0" applyFont="1" applyBorder="1" applyAlignment="1">
      <alignment horizontal="center" vertical="center" textRotation="90"/>
    </xf>
    <xf numFmtId="0" fontId="18" fillId="16" borderId="11" xfId="3" applyFont="1" applyFill="1" applyBorder="1"/>
    <xf numFmtId="0" fontId="14" fillId="12" borderId="62" xfId="3" applyFont="1" applyFill="1" applyBorder="1"/>
    <xf numFmtId="0" fontId="14" fillId="12" borderId="66" xfId="3" applyFont="1" applyFill="1" applyBorder="1"/>
    <xf numFmtId="0" fontId="16" fillId="12" borderId="68" xfId="3" applyFont="1" applyFill="1" applyBorder="1"/>
    <xf numFmtId="0" fontId="18" fillId="16" borderId="69" xfId="3" applyFont="1" applyFill="1" applyBorder="1"/>
    <xf numFmtId="3" fontId="15" fillId="15" borderId="50" xfId="3" applyNumberFormat="1" applyFont="1" applyFill="1" applyBorder="1"/>
    <xf numFmtId="3" fontId="15" fillId="15" borderId="70" xfId="3" applyNumberFormat="1" applyFont="1" applyFill="1" applyBorder="1"/>
    <xf numFmtId="0" fontId="17" fillId="14" borderId="71" xfId="0" applyFont="1" applyFill="1" applyBorder="1"/>
    <xf numFmtId="0" fontId="18" fillId="14" borderId="72" xfId="3" applyFont="1" applyFill="1" applyBorder="1"/>
    <xf numFmtId="0" fontId="18" fillId="14" borderId="73" xfId="3" applyFont="1" applyFill="1" applyBorder="1"/>
    <xf numFmtId="3" fontId="15" fillId="15" borderId="62" xfId="3" applyNumberFormat="1" applyFont="1" applyFill="1" applyBorder="1"/>
    <xf numFmtId="3" fontId="15" fillId="15" borderId="66" xfId="3" applyNumberFormat="1" applyFont="1" applyFill="1" applyBorder="1"/>
    <xf numFmtId="3" fontId="32" fillId="15" borderId="62" xfId="3" applyNumberFormat="1" applyFont="1" applyFill="1" applyBorder="1"/>
    <xf numFmtId="0" fontId="42" fillId="0" borderId="54" xfId="0" applyFont="1" applyBorder="1"/>
    <xf numFmtId="0" fontId="20" fillId="5" borderId="54" xfId="0" applyFont="1" applyFill="1" applyBorder="1" applyAlignment="1">
      <alignment horizontal="left" vertical="center"/>
    </xf>
    <xf numFmtId="0" fontId="14" fillId="11" borderId="26" xfId="0" applyFont="1" applyFill="1" applyBorder="1"/>
    <xf numFmtId="0" fontId="14" fillId="11" borderId="74" xfId="0" applyFont="1" applyFill="1" applyBorder="1"/>
    <xf numFmtId="0" fontId="20" fillId="11" borderId="25" xfId="0" applyFont="1" applyFill="1" applyBorder="1" applyAlignment="1">
      <alignment horizontal="right" vertical="center"/>
    </xf>
    <xf numFmtId="43" fontId="20" fillId="11" borderId="25" xfId="1" applyFont="1" applyFill="1" applyBorder="1" applyAlignment="1">
      <alignment vertical="center"/>
    </xf>
    <xf numFmtId="0" fontId="20" fillId="11" borderId="27" xfId="0" applyFont="1" applyFill="1" applyBorder="1" applyAlignment="1">
      <alignment vertical="center"/>
    </xf>
    <xf numFmtId="0" fontId="20" fillId="11" borderId="75" xfId="0" applyFont="1" applyFill="1" applyBorder="1" applyAlignment="1">
      <alignment horizontal="right" vertical="center"/>
    </xf>
    <xf numFmtId="43" fontId="20" fillId="11" borderId="75" xfId="1" applyFont="1" applyFill="1" applyBorder="1" applyAlignment="1">
      <alignment vertical="center"/>
    </xf>
    <xf numFmtId="0" fontId="20" fillId="11" borderId="76" xfId="0" applyFont="1" applyFill="1" applyBorder="1" applyAlignment="1">
      <alignment vertical="center"/>
    </xf>
    <xf numFmtId="0" fontId="40" fillId="0" borderId="0" xfId="0" applyFont="1" applyAlignment="1">
      <alignment horizontal="left" vertical="center"/>
    </xf>
    <xf numFmtId="0" fontId="45" fillId="0" borderId="0" xfId="0" applyFont="1"/>
    <xf numFmtId="0" fontId="45" fillId="0" borderId="0" xfId="0" applyFont="1" applyAlignment="1">
      <alignment wrapText="1"/>
    </xf>
    <xf numFmtId="173" fontId="0" fillId="0" borderId="0" xfId="0" applyNumberFormat="1"/>
    <xf numFmtId="173" fontId="45" fillId="0" borderId="0" xfId="0" applyNumberFormat="1" applyFont="1"/>
    <xf numFmtId="173" fontId="35" fillId="0" borderId="0" xfId="0" applyNumberFormat="1" applyFont="1"/>
    <xf numFmtId="174" fontId="0" fillId="0" borderId="0" xfId="0" applyNumberFormat="1"/>
    <xf numFmtId="175" fontId="0" fillId="0" borderId="0" xfId="0" applyNumberFormat="1"/>
    <xf numFmtId="0" fontId="0" fillId="0" borderId="0" xfId="0" applyAlignment="1">
      <alignment horizontal="right"/>
    </xf>
    <xf numFmtId="0" fontId="45" fillId="0" borderId="0" xfId="0" applyFont="1" applyAlignment="1">
      <alignment horizontal="right"/>
    </xf>
    <xf numFmtId="166" fontId="20" fillId="9" borderId="0" xfId="1" applyNumberFormat="1" applyFont="1" applyFill="1" applyBorder="1" applyAlignment="1">
      <alignment horizontal="right" vertical="top"/>
    </xf>
    <xf numFmtId="43" fontId="20" fillId="16" borderId="0" xfId="1" applyFont="1" applyFill="1" applyBorder="1" applyAlignment="1">
      <alignment vertical="top"/>
    </xf>
    <xf numFmtId="0" fontId="23" fillId="16" borderId="63" xfId="0" applyFont="1" applyFill="1" applyBorder="1" applyAlignment="1">
      <alignment horizontal="center" vertical="center" textRotation="90"/>
    </xf>
    <xf numFmtId="0" fontId="26" fillId="0" borderId="0" xfId="0" applyFont="1" applyAlignment="1">
      <alignment horizontal="center"/>
    </xf>
    <xf numFmtId="173" fontId="0" fillId="0" borderId="63" xfId="0" applyNumberFormat="1" applyBorder="1"/>
    <xf numFmtId="0" fontId="0" fillId="0" borderId="77" xfId="0" applyBorder="1"/>
    <xf numFmtId="173" fontId="0" fillId="0" borderId="67" xfId="0" applyNumberFormat="1" applyBorder="1"/>
    <xf numFmtId="173" fontId="0" fillId="0" borderId="64" xfId="0" applyNumberFormat="1" applyBorder="1"/>
    <xf numFmtId="173" fontId="0" fillId="0" borderId="65" xfId="0" applyNumberFormat="1" applyBorder="1"/>
    <xf numFmtId="173" fontId="45" fillId="0" borderId="78" xfId="0" applyNumberFormat="1" applyFont="1" applyBorder="1"/>
    <xf numFmtId="173" fontId="0" fillId="0" borderId="79" xfId="0" applyNumberFormat="1" applyBorder="1"/>
    <xf numFmtId="173" fontId="0" fillId="0" borderId="80" xfId="0" applyNumberFormat="1" applyBorder="1"/>
    <xf numFmtId="0" fontId="45" fillId="2" borderId="54" xfId="0" applyFont="1" applyFill="1" applyBorder="1" applyAlignment="1">
      <alignment wrapText="1"/>
    </xf>
    <xf numFmtId="0" fontId="45" fillId="2" borderId="85" xfId="0" applyFont="1" applyFill="1" applyBorder="1"/>
    <xf numFmtId="0" fontId="45" fillId="2" borderId="86" xfId="0" applyFont="1" applyFill="1" applyBorder="1" applyAlignment="1">
      <alignment wrapText="1"/>
    </xf>
    <xf numFmtId="173" fontId="45" fillId="0" borderId="80" xfId="0" applyNumberFormat="1" applyFont="1" applyBorder="1" applyAlignment="1">
      <alignment horizontal="right"/>
    </xf>
    <xf numFmtId="0" fontId="45" fillId="2" borderId="85" xfId="0" applyFont="1" applyFill="1" applyBorder="1" applyAlignment="1">
      <alignment wrapText="1"/>
    </xf>
    <xf numFmtId="0" fontId="45" fillId="0" borderId="55" xfId="0" applyFont="1" applyBorder="1"/>
    <xf numFmtId="0" fontId="0" fillId="0" borderId="56" xfId="0" applyBorder="1"/>
    <xf numFmtId="0" fontId="45" fillId="0" borderId="57" xfId="0" applyFont="1" applyBorder="1"/>
    <xf numFmtId="0" fontId="26" fillId="0" borderId="0" xfId="0" applyFont="1"/>
    <xf numFmtId="4" fontId="0" fillId="0" borderId="0" xfId="0" applyNumberFormat="1"/>
    <xf numFmtId="173" fontId="0" fillId="0" borderId="0" xfId="0" applyNumberFormat="1" applyAlignment="1">
      <alignment horizontal="center"/>
    </xf>
    <xf numFmtId="173" fontId="45" fillId="0" borderId="79" xfId="0" applyNumberFormat="1" applyFont="1" applyBorder="1"/>
    <xf numFmtId="0" fontId="14" fillId="11" borderId="0" xfId="0" applyFont="1" applyFill="1" applyAlignment="1">
      <alignment vertical="top"/>
    </xf>
    <xf numFmtId="0" fontId="20" fillId="11" borderId="0" xfId="0" applyFont="1" applyFill="1" applyAlignment="1">
      <alignment horizontal="right" vertical="top"/>
    </xf>
    <xf numFmtId="43" fontId="20" fillId="11" borderId="0" xfId="1" applyFont="1" applyFill="1" applyBorder="1" applyAlignment="1">
      <alignment vertical="top"/>
    </xf>
    <xf numFmtId="0" fontId="20" fillId="11" borderId="0" xfId="0" applyFont="1" applyFill="1" applyAlignment="1">
      <alignment vertical="top"/>
    </xf>
    <xf numFmtId="166" fontId="0" fillId="0" borderId="54" xfId="1" applyNumberFormat="1" applyFont="1" applyBorder="1"/>
    <xf numFmtId="166" fontId="42" fillId="0" borderId="54" xfId="1" applyNumberFormat="1" applyFont="1" applyBorder="1"/>
    <xf numFmtId="166" fontId="20" fillId="5" borderId="54" xfId="1" applyNumberFormat="1" applyFont="1" applyFill="1" applyBorder="1" applyAlignment="1">
      <alignment horizontal="center" vertical="center"/>
    </xf>
    <xf numFmtId="166" fontId="0" fillId="0" borderId="54" xfId="1" applyNumberFormat="1" applyFont="1" applyFill="1" applyBorder="1"/>
    <xf numFmtId="166" fontId="42" fillId="0" borderId="54" xfId="1" applyNumberFormat="1" applyFont="1" applyFill="1" applyBorder="1"/>
    <xf numFmtId="172" fontId="45" fillId="0" borderId="0" xfId="0" applyNumberFormat="1" applyFont="1"/>
    <xf numFmtId="0" fontId="45" fillId="0" borderId="0" xfId="0" applyFont="1" applyAlignment="1">
      <alignment horizontal="center"/>
    </xf>
    <xf numFmtId="0" fontId="14" fillId="10" borderId="0" xfId="0" applyFont="1" applyFill="1"/>
    <xf numFmtId="0" fontId="15" fillId="10" borderId="0" xfId="0" applyFont="1" applyFill="1"/>
    <xf numFmtId="0" fontId="23" fillId="11" borderId="0" xfId="0" applyFont="1" applyFill="1" applyAlignment="1">
      <alignment horizontal="center" vertical="center" textRotation="90"/>
    </xf>
    <xf numFmtId="0" fontId="14" fillId="3" borderId="90" xfId="0" applyFont="1" applyFill="1" applyBorder="1"/>
    <xf numFmtId="0" fontId="14" fillId="10" borderId="91" xfId="0" applyFont="1" applyFill="1" applyBorder="1"/>
    <xf numFmtId="0" fontId="17" fillId="10" borderId="91" xfId="0" applyFont="1" applyFill="1" applyBorder="1"/>
    <xf numFmtId="0" fontId="25" fillId="3" borderId="91" xfId="0" applyFont="1" applyFill="1" applyBorder="1"/>
    <xf numFmtId="0" fontId="14" fillId="10" borderId="70" xfId="0" applyFont="1" applyFill="1" applyBorder="1"/>
    <xf numFmtId="43" fontId="20" fillId="20" borderId="0" xfId="1" applyFont="1" applyFill="1" applyBorder="1" applyAlignment="1">
      <alignment vertical="top"/>
    </xf>
    <xf numFmtId="0" fontId="20" fillId="20" borderId="0" xfId="0" applyFont="1" applyFill="1" applyAlignment="1">
      <alignment vertical="top"/>
    </xf>
    <xf numFmtId="0" fontId="14" fillId="0" borderId="0" xfId="0" applyFont="1" applyAlignment="1">
      <alignment vertical="center"/>
    </xf>
    <xf numFmtId="0" fontId="14" fillId="8" borderId="91" xfId="0" applyFont="1" applyFill="1" applyBorder="1"/>
    <xf numFmtId="0" fontId="17" fillId="8" borderId="91" xfId="0" applyFont="1" applyFill="1" applyBorder="1"/>
    <xf numFmtId="0" fontId="19" fillId="3" borderId="91" xfId="0" applyFont="1" applyFill="1" applyBorder="1"/>
    <xf numFmtId="0" fontId="14" fillId="0" borderId="63" xfId="0" applyFont="1" applyBorder="1"/>
    <xf numFmtId="0" fontId="14" fillId="0" borderId="67" xfId="0" applyFont="1" applyBorder="1"/>
    <xf numFmtId="0" fontId="14" fillId="8" borderId="70" xfId="0" applyFont="1" applyFill="1" applyBorder="1"/>
    <xf numFmtId="166" fontId="20" fillId="21" borderId="0" xfId="1" applyNumberFormat="1" applyFont="1" applyFill="1" applyBorder="1" applyAlignment="1">
      <alignment horizontal="right" vertical="top"/>
    </xf>
    <xf numFmtId="0" fontId="15" fillId="8" borderId="0" xfId="0" applyFont="1" applyFill="1"/>
    <xf numFmtId="166" fontId="17" fillId="8" borderId="0" xfId="1" applyNumberFormat="1" applyFont="1" applyFill="1" applyBorder="1"/>
    <xf numFmtId="0" fontId="14" fillId="0" borderId="61" xfId="0" applyFont="1" applyBorder="1"/>
    <xf numFmtId="0" fontId="14" fillId="0" borderId="62" xfId="0" applyFont="1" applyBorder="1"/>
    <xf numFmtId="0" fontId="14" fillId="0" borderId="66" xfId="0" applyFont="1" applyBorder="1"/>
    <xf numFmtId="43" fontId="14" fillId="0" borderId="0" xfId="1" applyFont="1" applyBorder="1"/>
    <xf numFmtId="10" fontId="14" fillId="0" borderId="0" xfId="2" applyNumberFormat="1" applyFont="1" applyBorder="1"/>
    <xf numFmtId="0" fontId="14" fillId="0" borderId="0" xfId="2" applyNumberFormat="1" applyFont="1" applyBorder="1"/>
    <xf numFmtId="0" fontId="14" fillId="0" borderId="67" xfId="2" applyNumberFormat="1" applyFont="1" applyBorder="1"/>
    <xf numFmtId="0" fontId="14" fillId="9" borderId="95" xfId="0" applyFont="1" applyFill="1" applyBorder="1"/>
    <xf numFmtId="0" fontId="14" fillId="9" borderId="63" xfId="0" applyFont="1" applyFill="1" applyBorder="1"/>
    <xf numFmtId="0" fontId="20" fillId="21" borderId="0" xfId="0" applyFont="1" applyFill="1" applyAlignment="1">
      <alignment horizontal="right" vertical="top"/>
    </xf>
    <xf numFmtId="0" fontId="20" fillId="21" borderId="67" xfId="0" applyFont="1" applyFill="1" applyBorder="1" applyAlignment="1">
      <alignment horizontal="left" vertical="top"/>
    </xf>
    <xf numFmtId="0" fontId="14" fillId="8" borderId="67" xfId="0" applyFont="1" applyFill="1" applyBorder="1"/>
    <xf numFmtId="0" fontId="20" fillId="9" borderId="67" xfId="0" applyFont="1" applyFill="1" applyBorder="1" applyAlignment="1">
      <alignment horizontal="left" vertical="top"/>
    </xf>
    <xf numFmtId="0" fontId="14" fillId="9" borderId="77" xfId="0" applyFont="1" applyFill="1" applyBorder="1"/>
    <xf numFmtId="0" fontId="20" fillId="9" borderId="64" xfId="0" applyFont="1" applyFill="1" applyBorder="1" applyAlignment="1">
      <alignment horizontal="right" vertical="top"/>
    </xf>
    <xf numFmtId="171" fontId="20" fillId="9" borderId="64" xfId="2" applyNumberFormat="1" applyFont="1" applyFill="1" applyBorder="1" applyAlignment="1">
      <alignment horizontal="right" vertical="top"/>
    </xf>
    <xf numFmtId="0" fontId="20" fillId="9" borderId="65" xfId="0" applyFont="1" applyFill="1" applyBorder="1" applyAlignment="1">
      <alignment horizontal="left" vertical="top"/>
    </xf>
    <xf numFmtId="0" fontId="14" fillId="17" borderId="89" xfId="0" applyFont="1" applyFill="1" applyBorder="1"/>
    <xf numFmtId="0" fontId="14" fillId="17" borderId="29" xfId="2" applyNumberFormat="1" applyFont="1" applyFill="1" applyBorder="1"/>
    <xf numFmtId="0" fontId="20" fillId="22" borderId="0" xfId="0" applyFont="1" applyFill="1" applyAlignment="1">
      <alignment horizontal="right" vertical="top"/>
    </xf>
    <xf numFmtId="43" fontId="20" fillId="22" borderId="0" xfId="1" applyFont="1" applyFill="1" applyBorder="1" applyAlignment="1">
      <alignment vertical="top"/>
    </xf>
    <xf numFmtId="0" fontId="39" fillId="17" borderId="0" xfId="0" applyFont="1" applyFill="1"/>
    <xf numFmtId="43" fontId="39" fillId="17" borderId="0" xfId="1" applyFont="1" applyFill="1" applyBorder="1"/>
    <xf numFmtId="0" fontId="20" fillId="16" borderId="0" xfId="0" applyFont="1" applyFill="1" applyAlignment="1">
      <alignment horizontal="right" vertical="top"/>
    </xf>
    <xf numFmtId="0" fontId="14" fillId="2" borderId="90" xfId="0" applyFont="1" applyFill="1" applyBorder="1"/>
    <xf numFmtId="0" fontId="14" fillId="17" borderId="91" xfId="0" applyFont="1" applyFill="1" applyBorder="1"/>
    <xf numFmtId="0" fontId="17" fillId="17" borderId="91" xfId="0" applyFont="1" applyFill="1" applyBorder="1"/>
    <xf numFmtId="0" fontId="14" fillId="17" borderId="96" xfId="0" applyFont="1" applyFill="1" applyBorder="1"/>
    <xf numFmtId="0" fontId="14" fillId="16" borderId="63" xfId="0" applyFont="1" applyFill="1" applyBorder="1" applyAlignment="1">
      <alignment vertical="top"/>
    </xf>
    <xf numFmtId="0" fontId="20" fillId="22" borderId="67" xfId="0" applyFont="1" applyFill="1" applyBorder="1" applyAlignment="1">
      <alignment vertical="top"/>
    </xf>
    <xf numFmtId="0" fontId="14" fillId="17" borderId="67" xfId="0" applyFont="1" applyFill="1" applyBorder="1"/>
    <xf numFmtId="0" fontId="20" fillId="16" borderId="67" xfId="0" applyFont="1" applyFill="1" applyBorder="1" applyAlignment="1">
      <alignment vertical="top"/>
    </xf>
    <xf numFmtId="0" fontId="14" fillId="16" borderId="77" xfId="0" applyFont="1" applyFill="1" applyBorder="1" applyAlignment="1">
      <alignment vertical="top"/>
    </xf>
    <xf numFmtId="0" fontId="20" fillId="23" borderId="20" xfId="0" applyFont="1" applyFill="1" applyBorder="1" applyAlignment="1">
      <alignment horizontal="right" vertical="top"/>
    </xf>
    <xf numFmtId="164" fontId="20" fillId="23" borderId="20" xfId="2" applyNumberFormat="1" applyFont="1" applyFill="1" applyBorder="1" applyAlignment="1">
      <alignment vertical="top"/>
    </xf>
    <xf numFmtId="0" fontId="20" fillId="23" borderId="44" xfId="0" applyFont="1" applyFill="1" applyBorder="1" applyAlignment="1">
      <alignment horizontal="left" vertical="top"/>
    </xf>
    <xf numFmtId="164" fontId="20" fillId="16" borderId="0" xfId="2" applyNumberFormat="1" applyFont="1" applyFill="1" applyBorder="1" applyAlignment="1">
      <alignment vertical="top"/>
    </xf>
    <xf numFmtId="0" fontId="23" fillId="0" borderId="0" xfId="0" applyFont="1" applyAlignment="1">
      <alignment horizontal="center" vertical="center" textRotation="90"/>
    </xf>
    <xf numFmtId="166" fontId="20" fillId="16" borderId="0" xfId="1" applyNumberFormat="1" applyFont="1" applyFill="1" applyBorder="1" applyAlignment="1">
      <alignment horizontal="right" vertical="top"/>
    </xf>
    <xf numFmtId="0" fontId="14" fillId="16" borderId="66" xfId="0" applyFont="1" applyFill="1" applyBorder="1"/>
    <xf numFmtId="0" fontId="19" fillId="17" borderId="90" xfId="0" applyFont="1" applyFill="1" applyBorder="1"/>
    <xf numFmtId="0" fontId="14" fillId="17" borderId="70" xfId="0" applyFont="1" applyFill="1" applyBorder="1"/>
    <xf numFmtId="0" fontId="20" fillId="16" borderId="67" xfId="0" applyFont="1" applyFill="1" applyBorder="1" applyAlignment="1">
      <alignment horizontal="left" vertical="top"/>
    </xf>
    <xf numFmtId="0" fontId="23" fillId="16" borderId="77" xfId="0" applyFont="1" applyFill="1" applyBorder="1" applyAlignment="1">
      <alignment horizontal="center" vertical="center" textRotation="90"/>
    </xf>
    <xf numFmtId="0" fontId="47" fillId="17" borderId="48" xfId="0" applyFont="1" applyFill="1" applyBorder="1"/>
    <xf numFmtId="0" fontId="47" fillId="17" borderId="0" xfId="0" applyFont="1" applyFill="1"/>
    <xf numFmtId="43" fontId="14" fillId="17" borderId="0" xfId="1" applyFont="1" applyFill="1" applyBorder="1"/>
    <xf numFmtId="164" fontId="20" fillId="16" borderId="64" xfId="2" applyNumberFormat="1" applyFont="1" applyFill="1" applyBorder="1" applyAlignment="1">
      <alignment vertical="top"/>
    </xf>
    <xf numFmtId="0" fontId="20" fillId="16" borderId="65" xfId="0" applyFont="1" applyFill="1" applyBorder="1" applyAlignment="1">
      <alignment horizontal="left" vertical="top"/>
    </xf>
    <xf numFmtId="0" fontId="17" fillId="9" borderId="46" xfId="3" applyFont="1" applyFill="1" applyBorder="1"/>
    <xf numFmtId="0" fontId="17" fillId="9" borderId="98" xfId="3" applyFont="1" applyFill="1" applyBorder="1"/>
    <xf numFmtId="0" fontId="18" fillId="9" borderId="99" xfId="3" applyFont="1" applyFill="1" applyBorder="1"/>
    <xf numFmtId="0" fontId="18" fillId="9" borderId="47" xfId="3" applyFont="1" applyFill="1" applyBorder="1"/>
    <xf numFmtId="0" fontId="18" fillId="9" borderId="100" xfId="3" applyFont="1" applyFill="1" applyBorder="1"/>
    <xf numFmtId="0" fontId="18" fillId="9" borderId="101" xfId="3" applyFont="1" applyFill="1" applyBorder="1"/>
    <xf numFmtId="0" fontId="18" fillId="9" borderId="90" xfId="3" applyFont="1" applyFill="1" applyBorder="1"/>
    <xf numFmtId="166" fontId="14" fillId="8" borderId="91" xfId="1" applyNumberFormat="1" applyFont="1" applyFill="1" applyBorder="1"/>
    <xf numFmtId="0" fontId="15" fillId="12" borderId="97" xfId="3" applyFont="1" applyFill="1" applyBorder="1"/>
    <xf numFmtId="0" fontId="17" fillId="11" borderId="104" xfId="3" applyFont="1" applyFill="1" applyBorder="1"/>
    <xf numFmtId="0" fontId="18" fillId="11" borderId="69" xfId="3" applyFont="1" applyFill="1" applyBorder="1"/>
    <xf numFmtId="166" fontId="14" fillId="10" borderId="91" xfId="1" applyNumberFormat="1" applyFont="1" applyFill="1" applyBorder="1"/>
    <xf numFmtId="0" fontId="17" fillId="16" borderId="104" xfId="0" applyFont="1" applyFill="1" applyBorder="1"/>
    <xf numFmtId="0" fontId="14" fillId="12" borderId="61" xfId="3" applyFont="1" applyFill="1" applyBorder="1"/>
    <xf numFmtId="0" fontId="17" fillId="14" borderId="107" xfId="0" applyFont="1" applyFill="1" applyBorder="1"/>
    <xf numFmtId="0" fontId="15" fillId="15" borderId="61" xfId="3" applyFont="1" applyFill="1" applyBorder="1"/>
    <xf numFmtId="0" fontId="15" fillId="15" borderId="49" xfId="3" applyFont="1" applyFill="1" applyBorder="1"/>
    <xf numFmtId="0" fontId="0" fillId="0" borderId="0" xfId="0" applyAlignment="1">
      <alignment horizontal="center"/>
    </xf>
    <xf numFmtId="166" fontId="14" fillId="0" borderId="0" xfId="1" applyNumberFormat="1" applyFont="1"/>
    <xf numFmtId="166" fontId="14" fillId="0" borderId="0" xfId="1" applyNumberFormat="1" applyFont="1" applyFill="1" applyBorder="1"/>
    <xf numFmtId="166" fontId="14" fillId="10" borderId="54" xfId="1" applyNumberFormat="1" applyFont="1" applyFill="1" applyBorder="1"/>
    <xf numFmtId="0" fontId="15" fillId="12" borderId="63" xfId="3" applyFont="1" applyFill="1" applyBorder="1"/>
    <xf numFmtId="0" fontId="15" fillId="12" borderId="0" xfId="3" applyFont="1" applyFill="1"/>
    <xf numFmtId="0" fontId="16" fillId="12" borderId="0" xfId="3" applyFont="1" applyFill="1"/>
    <xf numFmtId="0" fontId="16" fillId="12" borderId="67" xfId="3" applyFont="1" applyFill="1" applyBorder="1"/>
    <xf numFmtId="0" fontId="17" fillId="11" borderId="108" xfId="0" applyFont="1" applyFill="1" applyBorder="1"/>
    <xf numFmtId="0" fontId="18" fillId="11" borderId="109" xfId="3" applyFont="1" applyFill="1" applyBorder="1"/>
    <xf numFmtId="0" fontId="18" fillId="11" borderId="110" xfId="3" applyFont="1" applyFill="1" applyBorder="1"/>
    <xf numFmtId="0" fontId="14" fillId="10" borderId="85" xfId="3" applyFont="1" applyFill="1" applyBorder="1"/>
    <xf numFmtId="166" fontId="14" fillId="10" borderId="86" xfId="1" applyNumberFormat="1" applyFont="1" applyFill="1" applyBorder="1"/>
    <xf numFmtId="0" fontId="15" fillId="10" borderId="85" xfId="3" applyFont="1" applyFill="1" applyBorder="1"/>
    <xf numFmtId="0" fontId="17" fillId="16" borderId="108" xfId="0" applyFont="1" applyFill="1" applyBorder="1"/>
    <xf numFmtId="0" fontId="18" fillId="16" borderId="109" xfId="3" applyFont="1" applyFill="1" applyBorder="1"/>
    <xf numFmtId="0" fontId="18" fillId="16" borderId="110" xfId="3" applyFont="1" applyFill="1" applyBorder="1"/>
    <xf numFmtId="0" fontId="32" fillId="17" borderId="85" xfId="3" applyFont="1" applyFill="1" applyBorder="1"/>
    <xf numFmtId="0" fontId="15" fillId="17" borderId="85" xfId="3" applyFont="1" applyFill="1" applyBorder="1"/>
    <xf numFmtId="0" fontId="14" fillId="17" borderId="85" xfId="3" applyFont="1" applyFill="1" applyBorder="1"/>
    <xf numFmtId="0" fontId="14" fillId="17" borderId="87" xfId="3" applyFont="1" applyFill="1" applyBorder="1"/>
    <xf numFmtId="0" fontId="17" fillId="14" borderId="108" xfId="0" applyFont="1" applyFill="1" applyBorder="1"/>
    <xf numFmtId="0" fontId="18" fillId="14" borderId="109" xfId="3" applyFont="1" applyFill="1" applyBorder="1"/>
    <xf numFmtId="0" fontId="18" fillId="14" borderId="110" xfId="3" applyFont="1" applyFill="1" applyBorder="1"/>
    <xf numFmtId="0" fontId="14" fillId="8" borderId="102" xfId="3" applyFont="1" applyFill="1" applyBorder="1"/>
    <xf numFmtId="0" fontId="47" fillId="10" borderId="58" xfId="3" applyFont="1" applyFill="1" applyBorder="1"/>
    <xf numFmtId="166" fontId="47" fillId="10" borderId="59" xfId="1" applyNumberFormat="1" applyFont="1" applyFill="1" applyBorder="1"/>
    <xf numFmtId="166" fontId="47" fillId="10" borderId="60" xfId="1" applyNumberFormat="1" applyFont="1" applyFill="1" applyBorder="1"/>
    <xf numFmtId="0" fontId="36" fillId="12" borderId="61" xfId="3" applyFont="1" applyFill="1" applyBorder="1"/>
    <xf numFmtId="166" fontId="14" fillId="12" borderId="62" xfId="1" applyNumberFormat="1" applyFont="1" applyFill="1" applyBorder="1"/>
    <xf numFmtId="166" fontId="14" fillId="12" borderId="66" xfId="1" applyNumberFormat="1" applyFont="1" applyFill="1" applyBorder="1"/>
    <xf numFmtId="0" fontId="15" fillId="12" borderId="77" xfId="3" applyFont="1" applyFill="1" applyBorder="1"/>
    <xf numFmtId="0" fontId="15" fillId="12" borderId="64" xfId="3" applyFont="1" applyFill="1" applyBorder="1"/>
    <xf numFmtId="0" fontId="16" fillId="12" borderId="64" xfId="3" applyFont="1" applyFill="1" applyBorder="1"/>
    <xf numFmtId="0" fontId="16" fillId="12" borderId="65" xfId="3" applyFont="1" applyFill="1" applyBorder="1"/>
    <xf numFmtId="0" fontId="14" fillId="8" borderId="63" xfId="3" applyFont="1" applyFill="1" applyBorder="1"/>
    <xf numFmtId="0" fontId="14" fillId="10" borderId="77" xfId="3" applyFont="1" applyFill="1" applyBorder="1"/>
    <xf numFmtId="166" fontId="14" fillId="10" borderId="64" xfId="1" applyNumberFormat="1" applyFont="1" applyFill="1" applyBorder="1"/>
    <xf numFmtId="166" fontId="14" fillId="10" borderId="65" xfId="1" applyNumberFormat="1" applyFont="1" applyFill="1" applyBorder="1"/>
    <xf numFmtId="0" fontId="47" fillId="8" borderId="58" xfId="3" applyFont="1" applyFill="1" applyBorder="1"/>
    <xf numFmtId="0" fontId="47" fillId="12" borderId="63" xfId="3" applyFont="1" applyFill="1" applyBorder="1"/>
    <xf numFmtId="3" fontId="47" fillId="12" borderId="0" xfId="3" applyNumberFormat="1" applyFont="1" applyFill="1"/>
    <xf numFmtId="3" fontId="47" fillId="12" borderId="67" xfId="3" applyNumberFormat="1" applyFont="1" applyFill="1" applyBorder="1"/>
    <xf numFmtId="0" fontId="47" fillId="24" borderId="0" xfId="3" applyFont="1" applyFill="1"/>
    <xf numFmtId="0" fontId="17" fillId="9" borderId="108" xfId="0" applyFont="1" applyFill="1" applyBorder="1"/>
    <xf numFmtId="0" fontId="18" fillId="9" borderId="109" xfId="3" applyFont="1" applyFill="1" applyBorder="1"/>
    <xf numFmtId="0" fontId="18" fillId="9" borderId="110" xfId="3" applyFont="1" applyFill="1" applyBorder="1"/>
    <xf numFmtId="166" fontId="14" fillId="8" borderId="54" xfId="1" applyNumberFormat="1" applyFont="1" applyFill="1" applyBorder="1"/>
    <xf numFmtId="0" fontId="14" fillId="8" borderId="85" xfId="3" applyFont="1" applyFill="1" applyBorder="1"/>
    <xf numFmtId="166" fontId="14" fillId="8" borderId="86" xfId="1" applyNumberFormat="1" applyFont="1" applyFill="1" applyBorder="1"/>
    <xf numFmtId="0" fontId="15" fillId="8" borderId="85" xfId="3" applyFont="1" applyFill="1" applyBorder="1"/>
    <xf numFmtId="0" fontId="14" fillId="12" borderId="0" xfId="3" applyFont="1" applyFill="1"/>
    <xf numFmtId="0" fontId="14" fillId="12" borderId="67" xfId="3" applyFont="1" applyFill="1" applyBorder="1"/>
    <xf numFmtId="0" fontId="17" fillId="16" borderId="109" xfId="3" applyFont="1" applyFill="1" applyBorder="1" applyAlignment="1">
      <alignment horizontal="right"/>
    </xf>
    <xf numFmtId="0" fontId="17" fillId="14" borderId="109" xfId="3" applyFont="1" applyFill="1" applyBorder="1" applyAlignment="1">
      <alignment horizontal="right"/>
    </xf>
    <xf numFmtId="0" fontId="17" fillId="11" borderId="109" xfId="3" applyFont="1" applyFill="1" applyBorder="1" applyAlignment="1">
      <alignment horizontal="right"/>
    </xf>
    <xf numFmtId="0" fontId="17" fillId="9" borderId="109" xfId="3" applyFont="1" applyFill="1" applyBorder="1" applyAlignment="1">
      <alignment horizontal="right"/>
    </xf>
    <xf numFmtId="0" fontId="47" fillId="17" borderId="114" xfId="3" applyFont="1" applyFill="1" applyBorder="1"/>
    <xf numFmtId="166" fontId="15" fillId="10" borderId="54" xfId="1" applyNumberFormat="1" applyFont="1" applyFill="1" applyBorder="1"/>
    <xf numFmtId="166" fontId="15" fillId="10" borderId="86" xfId="1" applyNumberFormat="1" applyFont="1" applyFill="1" applyBorder="1"/>
    <xf numFmtId="166" fontId="32" fillId="17" borderId="54" xfId="1" applyNumberFormat="1" applyFont="1" applyFill="1" applyBorder="1"/>
    <xf numFmtId="166" fontId="32" fillId="17" borderId="86" xfId="1" applyNumberFormat="1" applyFont="1" applyFill="1" applyBorder="1"/>
    <xf numFmtId="166" fontId="15" fillId="17" borderId="54" xfId="1" applyNumberFormat="1" applyFont="1" applyFill="1" applyBorder="1"/>
    <xf numFmtId="166" fontId="15" fillId="17" borderId="86" xfId="1" applyNumberFormat="1" applyFont="1" applyFill="1" applyBorder="1"/>
    <xf numFmtId="166" fontId="14" fillId="17" borderId="54" xfId="1" applyNumberFormat="1" applyFont="1" applyFill="1" applyBorder="1"/>
    <xf numFmtId="166" fontId="14" fillId="17" borderId="86" xfId="1" applyNumberFormat="1" applyFont="1" applyFill="1" applyBorder="1"/>
    <xf numFmtId="166" fontId="14" fillId="17" borderId="81" xfId="1" applyNumberFormat="1" applyFont="1" applyFill="1" applyBorder="1"/>
    <xf numFmtId="166" fontId="14" fillId="17" borderId="83" xfId="1" applyNumberFormat="1" applyFont="1" applyFill="1" applyBorder="1"/>
    <xf numFmtId="166" fontId="47" fillId="17" borderId="115" xfId="1" applyNumberFormat="1" applyFont="1" applyFill="1" applyBorder="1"/>
    <xf numFmtId="166" fontId="47" fillId="17" borderId="116" xfId="1" applyNumberFormat="1" applyFont="1" applyFill="1" applyBorder="1"/>
    <xf numFmtId="166" fontId="15" fillId="8" borderId="54" xfId="1" applyNumberFormat="1" applyFont="1" applyFill="1" applyBorder="1"/>
    <xf numFmtId="166" fontId="15" fillId="8" borderId="86" xfId="1" applyNumberFormat="1" applyFont="1" applyFill="1" applyBorder="1"/>
    <xf numFmtId="166" fontId="14" fillId="8" borderId="38" xfId="1" applyNumberFormat="1" applyFont="1" applyFill="1" applyBorder="1"/>
    <xf numFmtId="166" fontId="14" fillId="8" borderId="103" xfId="1" applyNumberFormat="1" applyFont="1" applyFill="1" applyBorder="1"/>
    <xf numFmtId="166" fontId="14" fillId="8" borderId="0" xfId="1" applyNumberFormat="1" applyFont="1" applyFill="1" applyBorder="1"/>
    <xf numFmtId="166" fontId="14" fillId="8" borderId="67" xfId="1" applyNumberFormat="1" applyFont="1" applyFill="1" applyBorder="1"/>
    <xf numFmtId="166" fontId="47" fillId="8" borderId="59" xfId="1" applyNumberFormat="1" applyFont="1" applyFill="1" applyBorder="1"/>
    <xf numFmtId="166" fontId="47" fillId="8" borderId="60" xfId="1" applyNumberFormat="1" applyFont="1" applyFill="1" applyBorder="1"/>
    <xf numFmtId="3" fontId="15" fillId="15" borderId="117" xfId="3" applyNumberFormat="1" applyFont="1" applyFill="1" applyBorder="1"/>
    <xf numFmtId="3" fontId="15" fillId="15" borderId="118" xfId="3" applyNumberFormat="1" applyFont="1" applyFill="1" applyBorder="1"/>
    <xf numFmtId="0" fontId="15" fillId="15" borderId="119" xfId="3" applyFont="1" applyFill="1" applyBorder="1"/>
    <xf numFmtId="166" fontId="47" fillId="25" borderId="59" xfId="1" applyNumberFormat="1" applyFont="1" applyFill="1" applyBorder="1"/>
    <xf numFmtId="166" fontId="47" fillId="25" borderId="60" xfId="1" applyNumberFormat="1" applyFont="1" applyFill="1" applyBorder="1"/>
    <xf numFmtId="0" fontId="28" fillId="25" borderId="58" xfId="3" applyFont="1" applyFill="1" applyBorder="1"/>
    <xf numFmtId="166" fontId="14" fillId="8" borderId="41" xfId="1" applyNumberFormat="1" applyFont="1" applyFill="1" applyBorder="1"/>
    <xf numFmtId="166" fontId="14" fillId="8" borderId="29" xfId="1" applyNumberFormat="1" applyFont="1" applyFill="1" applyBorder="1"/>
    <xf numFmtId="166" fontId="14" fillId="8" borderId="42" xfId="1" applyNumberFormat="1" applyFont="1" applyFill="1" applyBorder="1"/>
    <xf numFmtId="166" fontId="14" fillId="8" borderId="35" xfId="1" applyNumberFormat="1" applyFont="1" applyFill="1" applyBorder="1"/>
    <xf numFmtId="166" fontId="14" fillId="8" borderId="96" xfId="1" applyNumberFormat="1" applyFont="1" applyFill="1" applyBorder="1"/>
    <xf numFmtId="0" fontId="14" fillId="12" borderId="63" xfId="3" applyFont="1" applyFill="1" applyBorder="1"/>
    <xf numFmtId="0" fontId="28" fillId="0" borderId="0" xfId="3" applyFont="1"/>
    <xf numFmtId="166" fontId="47" fillId="0" borderId="0" xfId="1" applyNumberFormat="1" applyFont="1" applyFill="1" applyBorder="1"/>
    <xf numFmtId="0" fontId="14" fillId="12" borderId="19" xfId="3" applyFont="1" applyFill="1" applyBorder="1"/>
    <xf numFmtId="0" fontId="47" fillId="0" borderId="45" xfId="3" applyFont="1" applyBorder="1"/>
    <xf numFmtId="166" fontId="14" fillId="0" borderId="0" xfId="3" applyNumberFormat="1" applyFont="1"/>
    <xf numFmtId="166" fontId="47" fillId="0" borderId="45" xfId="3" applyNumberFormat="1" applyFont="1" applyBorder="1"/>
    <xf numFmtId="3" fontId="15" fillId="12" borderId="0" xfId="3" applyNumberFormat="1" applyFont="1" applyFill="1"/>
    <xf numFmtId="3" fontId="15" fillId="12" borderId="67" xfId="3" applyNumberFormat="1" applyFont="1" applyFill="1" applyBorder="1"/>
    <xf numFmtId="0" fontId="17" fillId="11" borderId="36" xfId="3" applyFont="1" applyFill="1" applyBorder="1" applyAlignment="1">
      <alignment horizontal="right"/>
    </xf>
    <xf numFmtId="0" fontId="17" fillId="14" borderId="72" xfId="3" applyFont="1" applyFill="1" applyBorder="1" applyAlignment="1">
      <alignment horizontal="right"/>
    </xf>
    <xf numFmtId="0" fontId="17" fillId="16" borderId="11" xfId="3" applyFont="1" applyFill="1" applyBorder="1" applyAlignment="1">
      <alignment horizontal="right"/>
    </xf>
    <xf numFmtId="166" fontId="14" fillId="8" borderId="48" xfId="1" applyNumberFormat="1" applyFont="1" applyFill="1" applyBorder="1"/>
    <xf numFmtId="166" fontId="14" fillId="8" borderId="15" xfId="1" applyNumberFormat="1" applyFont="1" applyFill="1" applyBorder="1"/>
    <xf numFmtId="166" fontId="14" fillId="8" borderId="89" xfId="1" applyNumberFormat="1" applyFont="1" applyFill="1" applyBorder="1"/>
    <xf numFmtId="166" fontId="14" fillId="8" borderId="34" xfId="1" applyNumberFormat="1" applyFont="1" applyFill="1" applyBorder="1"/>
    <xf numFmtId="166" fontId="15" fillId="8" borderId="120" xfId="1" applyNumberFormat="1" applyFont="1" applyFill="1" applyBorder="1"/>
    <xf numFmtId="166" fontId="15" fillId="8" borderId="123" xfId="1" applyNumberFormat="1" applyFont="1" applyFill="1" applyBorder="1"/>
    <xf numFmtId="166" fontId="15" fillId="8" borderId="124" xfId="1" applyNumberFormat="1" applyFont="1" applyFill="1" applyBorder="1"/>
    <xf numFmtId="166" fontId="15" fillId="8" borderId="121" xfId="1" applyNumberFormat="1" applyFont="1" applyFill="1" applyBorder="1"/>
    <xf numFmtId="166" fontId="15" fillId="8" borderId="125" xfId="1" applyNumberFormat="1" applyFont="1" applyFill="1" applyBorder="1"/>
    <xf numFmtId="166" fontId="15" fillId="8" borderId="126" xfId="1" applyNumberFormat="1" applyFont="1" applyFill="1" applyBorder="1"/>
    <xf numFmtId="166" fontId="15" fillId="8" borderId="122" xfId="1" applyNumberFormat="1" applyFont="1" applyFill="1" applyBorder="1"/>
    <xf numFmtId="166" fontId="14" fillId="10" borderId="48" xfId="1" applyNumberFormat="1" applyFont="1" applyFill="1" applyBorder="1"/>
    <xf numFmtId="166" fontId="14" fillId="10" borderId="15" xfId="1" applyNumberFormat="1" applyFont="1" applyFill="1" applyBorder="1"/>
    <xf numFmtId="166" fontId="15" fillId="10" borderId="105" xfId="1" applyNumberFormat="1" applyFont="1" applyFill="1" applyBorder="1"/>
    <xf numFmtId="166" fontId="15" fillId="10" borderId="16" xfId="1" applyNumberFormat="1" applyFont="1" applyFill="1" applyBorder="1"/>
    <xf numFmtId="166" fontId="15" fillId="10" borderId="18" xfId="1" applyNumberFormat="1" applyFont="1" applyFill="1" applyBorder="1"/>
    <xf numFmtId="166" fontId="15" fillId="10" borderId="8" xfId="1" applyNumberFormat="1" applyFont="1" applyFill="1" applyBorder="1"/>
    <xf numFmtId="166" fontId="15" fillId="10" borderId="106" xfId="1" applyNumberFormat="1" applyFont="1" applyFill="1" applyBorder="1"/>
    <xf numFmtId="166" fontId="32" fillId="15" borderId="85" xfId="1" applyNumberFormat="1" applyFont="1" applyFill="1" applyBorder="1"/>
    <xf numFmtId="166" fontId="32" fillId="15" borderId="54" xfId="1" applyNumberFormat="1" applyFont="1" applyFill="1" applyBorder="1"/>
    <xf numFmtId="166" fontId="32" fillId="15" borderId="86" xfId="1" applyNumberFormat="1" applyFont="1" applyFill="1" applyBorder="1"/>
    <xf numFmtId="166" fontId="32" fillId="15" borderId="87" xfId="1" applyNumberFormat="1" applyFont="1" applyFill="1" applyBorder="1"/>
    <xf numFmtId="166" fontId="32" fillId="15" borderId="81" xfId="1" applyNumberFormat="1" applyFont="1" applyFill="1" applyBorder="1"/>
    <xf numFmtId="166" fontId="32" fillId="15" borderId="83" xfId="1" applyNumberFormat="1" applyFont="1" applyFill="1" applyBorder="1"/>
    <xf numFmtId="166" fontId="15" fillId="15" borderId="120" xfId="1" applyNumberFormat="1" applyFont="1" applyFill="1" applyBorder="1"/>
    <xf numFmtId="166" fontId="15" fillId="15" borderId="121" xfId="1" applyNumberFormat="1" applyFont="1" applyFill="1" applyBorder="1"/>
    <xf numFmtId="166" fontId="15" fillId="15" borderId="122" xfId="1" applyNumberFormat="1" applyFont="1" applyFill="1" applyBorder="1"/>
    <xf numFmtId="166" fontId="32" fillId="17" borderId="63" xfId="1" applyNumberFormat="1" applyFont="1" applyFill="1" applyBorder="1"/>
    <xf numFmtId="166" fontId="32" fillId="17" borderId="0" xfId="1" applyNumberFormat="1" applyFont="1" applyFill="1"/>
    <xf numFmtId="166" fontId="32" fillId="17" borderId="67" xfId="1" applyNumberFormat="1" applyFont="1" applyFill="1" applyBorder="1"/>
    <xf numFmtId="166" fontId="15" fillId="17" borderId="120" xfId="1" applyNumberFormat="1" applyFont="1" applyFill="1" applyBorder="1"/>
    <xf numFmtId="166" fontId="15" fillId="17" borderId="121" xfId="1" applyNumberFormat="1" applyFont="1" applyFill="1" applyBorder="1"/>
    <xf numFmtId="166" fontId="15" fillId="17" borderId="122" xfId="1" applyNumberFormat="1" applyFont="1" applyFill="1" applyBorder="1"/>
    <xf numFmtId="166" fontId="14" fillId="17" borderId="85" xfId="1" applyNumberFormat="1" applyFont="1" applyFill="1" applyBorder="1"/>
    <xf numFmtId="166" fontId="47" fillId="17" borderId="114" xfId="1" applyNumberFormat="1" applyFont="1" applyFill="1" applyBorder="1"/>
    <xf numFmtId="0" fontId="17" fillId="9" borderId="127" xfId="3" applyFont="1" applyFill="1" applyBorder="1"/>
    <xf numFmtId="0" fontId="17" fillId="9" borderId="128" xfId="3" applyFont="1" applyFill="1" applyBorder="1"/>
    <xf numFmtId="0" fontId="18" fillId="9" borderId="129" xfId="3" applyFont="1" applyFill="1" applyBorder="1"/>
    <xf numFmtId="0" fontId="18" fillId="9" borderId="127" xfId="3" applyFont="1" applyFill="1" applyBorder="1"/>
    <xf numFmtId="0" fontId="18" fillId="9" borderId="130" xfId="3" applyFont="1" applyFill="1" applyBorder="1"/>
    <xf numFmtId="166" fontId="15" fillId="8" borderId="119" xfId="1" applyNumberFormat="1" applyFont="1" applyFill="1" applyBorder="1"/>
    <xf numFmtId="166" fontId="15" fillId="8" borderId="131" xfId="1" applyNumberFormat="1" applyFont="1" applyFill="1" applyBorder="1"/>
    <xf numFmtId="166" fontId="15" fillId="8" borderId="117" xfId="1" applyNumberFormat="1" applyFont="1" applyFill="1" applyBorder="1"/>
    <xf numFmtId="166" fontId="15" fillId="8" borderId="132" xfId="1" applyNumberFormat="1" applyFont="1" applyFill="1" applyBorder="1"/>
    <xf numFmtId="166" fontId="15" fillId="8" borderId="118" xfId="1" applyNumberFormat="1" applyFont="1" applyFill="1" applyBorder="1"/>
    <xf numFmtId="166" fontId="14" fillId="8" borderId="133" xfId="1" applyNumberFormat="1" applyFont="1" applyFill="1" applyBorder="1"/>
    <xf numFmtId="166" fontId="14" fillId="8" borderId="134" xfId="1" applyNumberFormat="1" applyFont="1" applyFill="1" applyBorder="1"/>
    <xf numFmtId="166" fontId="14" fillId="8" borderId="135" xfId="1" applyNumberFormat="1" applyFont="1" applyFill="1" applyBorder="1"/>
    <xf numFmtId="166" fontId="14" fillId="8" borderId="85" xfId="1" applyNumberFormat="1" applyFont="1" applyFill="1" applyBorder="1"/>
    <xf numFmtId="166" fontId="14" fillId="8" borderId="111" xfId="1" applyNumberFormat="1" applyFont="1" applyFill="1" applyBorder="1"/>
    <xf numFmtId="166" fontId="14" fillId="8" borderId="112" xfId="1" applyNumberFormat="1" applyFont="1" applyFill="1" applyBorder="1"/>
    <xf numFmtId="166" fontId="14" fillId="8" borderId="113" xfId="1" applyNumberFormat="1" applyFont="1" applyFill="1" applyBorder="1"/>
    <xf numFmtId="0" fontId="17" fillId="11" borderId="71" xfId="3" applyFont="1" applyFill="1" applyBorder="1"/>
    <xf numFmtId="0" fontId="17" fillId="11" borderId="136" xfId="3" applyFont="1" applyFill="1" applyBorder="1" applyAlignment="1">
      <alignment horizontal="right"/>
    </xf>
    <xf numFmtId="0" fontId="18" fillId="11" borderId="72" xfId="3" applyFont="1" applyFill="1" applyBorder="1"/>
    <xf numFmtId="0" fontId="18" fillId="11" borderId="71" xfId="3" applyFont="1" applyFill="1" applyBorder="1"/>
    <xf numFmtId="0" fontId="18" fillId="11" borderId="137" xfId="3" applyFont="1" applyFill="1" applyBorder="1"/>
    <xf numFmtId="166" fontId="15" fillId="10" borderId="138" xfId="1" applyNumberFormat="1" applyFont="1" applyFill="1" applyBorder="1"/>
    <xf numFmtId="166" fontId="15" fillId="10" borderId="139" xfId="1" applyNumberFormat="1" applyFont="1" applyFill="1" applyBorder="1"/>
    <xf numFmtId="166" fontId="15" fillId="10" borderId="140" xfId="1" applyNumberFormat="1" applyFont="1" applyFill="1" applyBorder="1"/>
    <xf numFmtId="166" fontId="15" fillId="10" borderId="141" xfId="1" applyNumberFormat="1" applyFont="1" applyFill="1" applyBorder="1"/>
    <xf numFmtId="166" fontId="14" fillId="10" borderId="133" xfId="1" applyNumberFormat="1" applyFont="1" applyFill="1" applyBorder="1"/>
    <xf numFmtId="166" fontId="14" fillId="10" borderId="134" xfId="1" applyNumberFormat="1" applyFont="1" applyFill="1" applyBorder="1"/>
    <xf numFmtId="166" fontId="14" fillId="10" borderId="135" xfId="1" applyNumberFormat="1" applyFont="1" applyFill="1" applyBorder="1"/>
    <xf numFmtId="166" fontId="14" fillId="10" borderId="85" xfId="1" applyNumberFormat="1" applyFont="1" applyFill="1" applyBorder="1"/>
    <xf numFmtId="166" fontId="15" fillId="10" borderId="111" xfId="1" applyNumberFormat="1" applyFont="1" applyFill="1" applyBorder="1"/>
    <xf numFmtId="166" fontId="15" fillId="10" borderId="112" xfId="1" applyNumberFormat="1" applyFont="1" applyFill="1" applyBorder="1"/>
    <xf numFmtId="166" fontId="15" fillId="10" borderId="113" xfId="1" applyNumberFormat="1" applyFont="1" applyFill="1" applyBorder="1"/>
    <xf numFmtId="0" fontId="15" fillId="15" borderId="114" xfId="3" applyFont="1" applyFill="1" applyBorder="1"/>
    <xf numFmtId="3" fontId="32" fillId="15" borderId="115" xfId="3" applyNumberFormat="1" applyFont="1" applyFill="1" applyBorder="1"/>
    <xf numFmtId="3" fontId="15" fillId="15" borderId="115" xfId="3" applyNumberFormat="1" applyFont="1" applyFill="1" applyBorder="1"/>
    <xf numFmtId="3" fontId="15" fillId="15" borderId="116" xfId="3" applyNumberFormat="1" applyFont="1" applyFill="1" applyBorder="1"/>
    <xf numFmtId="0" fontId="47" fillId="24" borderId="0" xfId="3" applyFont="1" applyFill="1" applyAlignment="1">
      <alignment horizontal="right" vertical="top"/>
    </xf>
    <xf numFmtId="166" fontId="32" fillId="17" borderId="81" xfId="1" applyNumberFormat="1" applyFont="1" applyFill="1" applyBorder="1"/>
    <xf numFmtId="166" fontId="32" fillId="17" borderId="83" xfId="1" applyNumberFormat="1" applyFont="1" applyFill="1" applyBorder="1"/>
    <xf numFmtId="0" fontId="17" fillId="16" borderId="133" xfId="0" applyFont="1" applyFill="1" applyBorder="1"/>
    <xf numFmtId="0" fontId="18" fillId="16" borderId="134" xfId="3" applyFont="1" applyFill="1" applyBorder="1"/>
    <xf numFmtId="0" fontId="18" fillId="16" borderId="135" xfId="3" applyFont="1" applyFill="1" applyBorder="1"/>
    <xf numFmtId="0" fontId="17" fillId="16" borderId="134" xfId="3" applyFont="1" applyFill="1" applyBorder="1" applyAlignment="1">
      <alignment horizontal="right"/>
    </xf>
    <xf numFmtId="166" fontId="32" fillId="17" borderId="85" xfId="1" applyNumberFormat="1" applyFont="1" applyFill="1" applyBorder="1"/>
    <xf numFmtId="166" fontId="32" fillId="17" borderId="87" xfId="1" applyNumberFormat="1" applyFont="1" applyFill="1" applyBorder="1"/>
    <xf numFmtId="166" fontId="14" fillId="17" borderId="143" xfId="1" applyNumberFormat="1" applyFont="1" applyFill="1" applyBorder="1"/>
    <xf numFmtId="166" fontId="14" fillId="17" borderId="142" xfId="1" applyNumberFormat="1" applyFont="1" applyFill="1" applyBorder="1"/>
    <xf numFmtId="166" fontId="14" fillId="17" borderId="144" xfId="1" applyNumberFormat="1" applyFont="1" applyFill="1" applyBorder="1"/>
    <xf numFmtId="166" fontId="15" fillId="17" borderId="114" xfId="1" applyNumberFormat="1" applyFont="1" applyFill="1" applyBorder="1"/>
    <xf numFmtId="166" fontId="15" fillId="17" borderId="115" xfId="1" applyNumberFormat="1" applyFont="1" applyFill="1" applyBorder="1"/>
    <xf numFmtId="166" fontId="15" fillId="17" borderId="116" xfId="1" applyNumberFormat="1" applyFont="1" applyFill="1" applyBorder="1"/>
    <xf numFmtId="166" fontId="14" fillId="17" borderId="87" xfId="1" applyNumberFormat="1" applyFont="1" applyFill="1" applyBorder="1"/>
    <xf numFmtId="0" fontId="26" fillId="19" borderId="58" xfId="0" applyFont="1" applyFill="1" applyBorder="1" applyAlignment="1">
      <alignment horizontal="center"/>
    </xf>
    <xf numFmtId="0" fontId="26" fillId="19" borderId="59" xfId="0" applyFont="1" applyFill="1" applyBorder="1" applyAlignment="1">
      <alignment horizontal="center"/>
    </xf>
    <xf numFmtId="0" fontId="26" fillId="19" borderId="60" xfId="0" applyFont="1" applyFill="1" applyBorder="1" applyAlignment="1">
      <alignment horizontal="center"/>
    </xf>
    <xf numFmtId="172" fontId="40" fillId="0" borderId="0" xfId="0" applyNumberFormat="1" applyFont="1" applyAlignment="1">
      <alignment horizontal="center"/>
    </xf>
    <xf numFmtId="0" fontId="40" fillId="0" borderId="0" xfId="0" applyFont="1" applyAlignment="1">
      <alignment horizontal="center"/>
    </xf>
    <xf numFmtId="172" fontId="40" fillId="0" borderId="0" xfId="0" applyNumberFormat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5" fillId="16" borderId="63" xfId="0" applyFont="1" applyFill="1" applyBorder="1" applyAlignment="1">
      <alignment horizontal="center" wrapText="1"/>
    </xf>
    <xf numFmtId="0" fontId="45" fillId="16" borderId="0" xfId="0" applyFont="1" applyFill="1" applyAlignment="1">
      <alignment horizontal="center" wrapText="1"/>
    </xf>
    <xf numFmtId="0" fontId="45" fillId="16" borderId="67" xfId="0" applyFont="1" applyFill="1" applyBorder="1" applyAlignment="1">
      <alignment horizontal="center" wrapText="1"/>
    </xf>
    <xf numFmtId="0" fontId="26" fillId="11" borderId="58" xfId="0" applyFont="1" applyFill="1" applyBorder="1" applyAlignment="1">
      <alignment horizontal="center"/>
    </xf>
    <xf numFmtId="0" fontId="26" fillId="11" borderId="59" xfId="0" applyFont="1" applyFill="1" applyBorder="1" applyAlignment="1">
      <alignment horizontal="center"/>
    </xf>
    <xf numFmtId="0" fontId="26" fillId="18" borderId="58" xfId="0" applyFont="1" applyFill="1" applyBorder="1" applyAlignment="1">
      <alignment horizontal="center"/>
    </xf>
    <xf numFmtId="0" fontId="26" fillId="18" borderId="59" xfId="0" applyFont="1" applyFill="1" applyBorder="1" applyAlignment="1">
      <alignment horizontal="center"/>
    </xf>
    <xf numFmtId="0" fontId="26" fillId="18" borderId="60" xfId="0" applyFont="1" applyFill="1" applyBorder="1" applyAlignment="1">
      <alignment horizontal="center"/>
    </xf>
    <xf numFmtId="0" fontId="26" fillId="9" borderId="61" xfId="0" applyFont="1" applyFill="1" applyBorder="1" applyAlignment="1">
      <alignment horizontal="center"/>
    </xf>
    <xf numFmtId="0" fontId="26" fillId="9" borderId="62" xfId="0" applyFont="1" applyFill="1" applyBorder="1" applyAlignment="1">
      <alignment horizontal="center"/>
    </xf>
    <xf numFmtId="0" fontId="26" fillId="14" borderId="61" xfId="0" applyFont="1" applyFill="1" applyBorder="1" applyAlignment="1">
      <alignment horizontal="center"/>
    </xf>
    <xf numFmtId="0" fontId="26" fillId="14" borderId="66" xfId="0" applyFont="1" applyFill="1" applyBorder="1" applyAlignment="1">
      <alignment horizontal="center"/>
    </xf>
    <xf numFmtId="0" fontId="26" fillId="14" borderId="62" xfId="0" applyFont="1" applyFill="1" applyBorder="1" applyAlignment="1">
      <alignment horizontal="center"/>
    </xf>
    <xf numFmtId="0" fontId="26" fillId="11" borderId="60" xfId="0" applyFont="1" applyFill="1" applyBorder="1" applyAlignment="1">
      <alignment horizontal="center"/>
    </xf>
    <xf numFmtId="0" fontId="45" fillId="16" borderId="61" xfId="0" applyFont="1" applyFill="1" applyBorder="1" applyAlignment="1">
      <alignment horizontal="center" wrapText="1"/>
    </xf>
    <xf numFmtId="0" fontId="45" fillId="16" borderId="62" xfId="0" applyFont="1" applyFill="1" applyBorder="1" applyAlignment="1">
      <alignment horizontal="center" wrapText="1"/>
    </xf>
    <xf numFmtId="0" fontId="45" fillId="16" borderId="66" xfId="0" applyFont="1" applyFill="1" applyBorder="1" applyAlignment="1">
      <alignment horizontal="center" wrapText="1"/>
    </xf>
    <xf numFmtId="0" fontId="26" fillId="14" borderId="63" xfId="0" applyFont="1" applyFill="1" applyBorder="1" applyAlignment="1">
      <alignment horizontal="center"/>
    </xf>
    <xf numFmtId="0" fontId="26" fillId="14" borderId="0" xfId="0" applyFont="1" applyFill="1" applyAlignment="1">
      <alignment horizontal="center"/>
    </xf>
    <xf numFmtId="0" fontId="26" fillId="14" borderId="67" xfId="0" applyFont="1" applyFill="1" applyBorder="1" applyAlignment="1">
      <alignment horizontal="center"/>
    </xf>
    <xf numFmtId="0" fontId="23" fillId="14" borderId="22" xfId="0" applyFont="1" applyFill="1" applyBorder="1" applyAlignment="1">
      <alignment horizontal="center" vertical="center" textRotation="90"/>
    </xf>
    <xf numFmtId="0" fontId="23" fillId="14" borderId="26" xfId="0" applyFont="1" applyFill="1" applyBorder="1" applyAlignment="1">
      <alignment horizontal="center" vertical="center" textRotation="90"/>
    </xf>
    <xf numFmtId="0" fontId="23" fillId="14" borderId="24" xfId="0" applyFont="1" applyFill="1" applyBorder="1" applyAlignment="1">
      <alignment horizontal="center" vertical="center" textRotation="90"/>
    </xf>
    <xf numFmtId="0" fontId="29" fillId="14" borderId="53" xfId="0" applyFont="1" applyFill="1" applyBorder="1" applyAlignment="1">
      <alignment horizontal="left" vertical="center" wrapText="1"/>
    </xf>
    <xf numFmtId="0" fontId="23" fillId="13" borderId="23" xfId="0" applyFont="1" applyFill="1" applyBorder="1" applyAlignment="1">
      <alignment horizontal="left" vertical="center" wrapText="1"/>
    </xf>
    <xf numFmtId="0" fontId="23" fillId="13" borderId="13" xfId="0" applyFont="1" applyFill="1" applyBorder="1" applyAlignment="1">
      <alignment horizontal="left" vertical="center" wrapText="1"/>
    </xf>
    <xf numFmtId="0" fontId="23" fillId="13" borderId="14" xfId="0" applyFont="1" applyFill="1" applyBorder="1" applyAlignment="1">
      <alignment horizontal="left" vertical="center" wrapText="1"/>
    </xf>
    <xf numFmtId="0" fontId="44" fillId="14" borderId="22" xfId="0" applyFont="1" applyFill="1" applyBorder="1" applyAlignment="1">
      <alignment horizontal="center" vertical="center" textRotation="90"/>
    </xf>
    <xf numFmtId="0" fontId="14" fillId="0" borderId="13" xfId="0" applyFont="1" applyBorder="1" applyAlignment="1">
      <alignment horizontal="center"/>
    </xf>
    <xf numFmtId="0" fontId="22" fillId="12" borderId="23" xfId="0" applyFont="1" applyFill="1" applyBorder="1" applyAlignment="1">
      <alignment horizontal="left" vertical="center" wrapText="1"/>
    </xf>
    <xf numFmtId="0" fontId="22" fillId="12" borderId="13" xfId="0" applyFont="1" applyFill="1" applyBorder="1" applyAlignment="1">
      <alignment horizontal="left" vertical="center" wrapText="1"/>
    </xf>
    <xf numFmtId="0" fontId="22" fillId="12" borderId="14" xfId="0" applyFont="1" applyFill="1" applyBorder="1" applyAlignment="1">
      <alignment horizontal="left" vertical="center" wrapText="1"/>
    </xf>
    <xf numFmtId="0" fontId="23" fillId="9" borderId="22" xfId="0" applyFont="1" applyFill="1" applyBorder="1" applyAlignment="1">
      <alignment horizontal="center" vertical="center" textRotation="90"/>
    </xf>
    <xf numFmtId="0" fontId="23" fillId="9" borderId="21" xfId="0" applyFont="1" applyFill="1" applyBorder="1" applyAlignment="1">
      <alignment horizontal="center" vertical="center" textRotation="90"/>
    </xf>
    <xf numFmtId="0" fontId="14" fillId="12" borderId="33" xfId="0" applyFont="1" applyFill="1" applyBorder="1" applyAlignment="1">
      <alignment horizontal="center"/>
    </xf>
    <xf numFmtId="0" fontId="14" fillId="12" borderId="45" xfId="0" applyFont="1" applyFill="1" applyBorder="1" applyAlignment="1">
      <alignment horizontal="center"/>
    </xf>
    <xf numFmtId="0" fontId="14" fillId="12" borderId="43" xfId="0" applyFont="1" applyFill="1" applyBorder="1" applyAlignment="1">
      <alignment horizontal="center"/>
    </xf>
    <xf numFmtId="0" fontId="23" fillId="11" borderId="26" xfId="0" applyFont="1" applyFill="1" applyBorder="1" applyAlignment="1">
      <alignment horizontal="center" vertical="center" textRotation="90"/>
    </xf>
    <xf numFmtId="0" fontId="23" fillId="11" borderId="21" xfId="0" applyFont="1" applyFill="1" applyBorder="1" applyAlignment="1">
      <alignment horizontal="center" vertical="center" textRotation="90"/>
    </xf>
    <xf numFmtId="0" fontId="23" fillId="16" borderId="61" xfId="0" applyFont="1" applyFill="1" applyBorder="1" applyAlignment="1">
      <alignment horizontal="center" vertical="center" textRotation="90"/>
    </xf>
    <xf numFmtId="0" fontId="23" fillId="16" borderId="63" xfId="0" applyFont="1" applyFill="1" applyBorder="1" applyAlignment="1">
      <alignment horizontal="center" vertical="center" textRotation="90"/>
    </xf>
    <xf numFmtId="0" fontId="29" fillId="16" borderId="59" xfId="0" applyFont="1" applyFill="1" applyBorder="1" applyAlignment="1">
      <alignment horizontal="left" vertical="center" wrapText="1"/>
    </xf>
    <xf numFmtId="0" fontId="22" fillId="13" borderId="13" xfId="0" applyFont="1" applyFill="1" applyBorder="1" applyAlignment="1">
      <alignment horizontal="left" vertical="center" wrapText="1"/>
    </xf>
    <xf numFmtId="0" fontId="22" fillId="13" borderId="14" xfId="0" applyFont="1" applyFill="1" applyBorder="1" applyAlignment="1">
      <alignment horizontal="left" vertical="center" wrapText="1"/>
    </xf>
    <xf numFmtId="0" fontId="22" fillId="12" borderId="92" xfId="0" applyFont="1" applyFill="1" applyBorder="1" applyAlignment="1">
      <alignment horizontal="left" vertical="center" wrapText="1"/>
    </xf>
    <xf numFmtId="0" fontId="22" fillId="12" borderId="93" xfId="0" applyFont="1" applyFill="1" applyBorder="1" applyAlignment="1">
      <alignment horizontal="left" vertical="center" wrapText="1"/>
    </xf>
    <xf numFmtId="0" fontId="23" fillId="9" borderId="94" xfId="0" applyFont="1" applyFill="1" applyBorder="1" applyAlignment="1">
      <alignment horizontal="center" vertical="center" textRotation="90"/>
    </xf>
    <xf numFmtId="0" fontId="23" fillId="9" borderId="63" xfId="0" applyFont="1" applyFill="1" applyBorder="1" applyAlignment="1">
      <alignment horizontal="center" vertical="center" textRotation="90"/>
    </xf>
    <xf numFmtId="0" fontId="14" fillId="12" borderId="0" xfId="0" applyFont="1" applyFill="1" applyAlignment="1">
      <alignment horizontal="center"/>
    </xf>
    <xf numFmtId="0" fontId="23" fillId="16" borderId="55" xfId="0" applyFont="1" applyFill="1" applyBorder="1" applyAlignment="1">
      <alignment horizontal="center" vertical="center" textRotation="90"/>
    </xf>
    <xf numFmtId="0" fontId="14" fillId="0" borderId="13" xfId="0" applyFont="1" applyBorder="1" applyAlignment="1">
      <alignment horizontal="center" vertical="top"/>
    </xf>
    <xf numFmtId="0" fontId="23" fillId="9" borderId="26" xfId="0" applyFont="1" applyFill="1" applyBorder="1" applyAlignment="1">
      <alignment horizontal="center" vertical="center" textRotation="90"/>
    </xf>
    <xf numFmtId="0" fontId="23" fillId="11" borderId="24" xfId="0" applyFont="1" applyFill="1" applyBorder="1" applyAlignment="1">
      <alignment horizontal="center" vertical="center" textRotation="90"/>
    </xf>
    <xf numFmtId="0" fontId="23" fillId="12" borderId="55" xfId="3" applyFont="1" applyFill="1" applyBorder="1" applyAlignment="1">
      <alignment horizontal="center" vertical="center" textRotation="90"/>
    </xf>
    <xf numFmtId="0" fontId="23" fillId="12" borderId="63" xfId="3" applyFont="1" applyFill="1" applyBorder="1" applyAlignment="1">
      <alignment horizontal="center" vertical="center" textRotation="90"/>
    </xf>
    <xf numFmtId="0" fontId="23" fillId="12" borderId="56" xfId="3" applyFont="1" applyFill="1" applyBorder="1" applyAlignment="1">
      <alignment horizontal="center" vertical="center" textRotation="90"/>
    </xf>
    <xf numFmtId="0" fontId="23" fillId="12" borderId="57" xfId="3" applyFont="1" applyFill="1" applyBorder="1" applyAlignment="1">
      <alignment horizontal="center" vertical="center" textRotation="90"/>
    </xf>
    <xf numFmtId="0" fontId="14" fillId="0" borderId="0" xfId="3" applyFont="1" applyAlignment="1">
      <alignment horizontal="center"/>
    </xf>
    <xf numFmtId="0" fontId="23" fillId="12" borderId="61" xfId="3" applyFont="1" applyFill="1" applyBorder="1" applyAlignment="1">
      <alignment horizontal="center" vertical="center" textRotation="90"/>
    </xf>
    <xf numFmtId="0" fontId="23" fillId="12" borderId="77" xfId="3" applyFont="1" applyFill="1" applyBorder="1" applyAlignment="1">
      <alignment horizontal="center" vertical="center" textRotation="90"/>
    </xf>
    <xf numFmtId="0" fontId="14" fillId="0" borderId="20" xfId="3" applyFont="1" applyBorder="1" applyAlignment="1">
      <alignment horizontal="center"/>
    </xf>
    <xf numFmtId="166" fontId="14" fillId="10" borderId="0" xfId="1" applyNumberFormat="1" applyFont="1" applyFill="1"/>
    <xf numFmtId="0" fontId="45" fillId="0" borderId="146" xfId="0" applyFont="1" applyBorder="1"/>
    <xf numFmtId="0" fontId="45" fillId="0" borderId="0" xfId="0" applyFont="1" applyBorder="1"/>
    <xf numFmtId="173" fontId="45" fillId="0" borderId="0" xfId="0" applyNumberFormat="1" applyFont="1" applyBorder="1"/>
    <xf numFmtId="173" fontId="0" fillId="0" borderId="0" xfId="0" applyNumberFormat="1" applyBorder="1"/>
    <xf numFmtId="173" fontId="35" fillId="0" borderId="0" xfId="0" applyNumberFormat="1" applyFont="1" applyFill="1"/>
    <xf numFmtId="173" fontId="48" fillId="0" borderId="0" xfId="0" applyNumberFormat="1" applyFont="1" applyFill="1" applyAlignment="1">
      <alignment horizontal="center" wrapText="1"/>
    </xf>
    <xf numFmtId="0" fontId="0" fillId="0" borderId="0" xfId="0" applyFill="1"/>
    <xf numFmtId="173" fontId="45" fillId="0" borderId="78" xfId="0" applyNumberFormat="1" applyFont="1" applyFill="1" applyBorder="1"/>
    <xf numFmtId="173" fontId="45" fillId="0" borderId="80" xfId="0" applyNumberFormat="1" applyFont="1" applyFill="1" applyBorder="1" applyAlignment="1">
      <alignment horizontal="right"/>
    </xf>
    <xf numFmtId="173" fontId="45" fillId="0" borderId="0" xfId="0" applyNumberFormat="1" applyFont="1" applyFill="1" applyBorder="1"/>
    <xf numFmtId="173" fontId="45" fillId="0" borderId="0" xfId="0" applyNumberFormat="1" applyFont="1" applyFill="1" applyBorder="1" applyAlignment="1">
      <alignment horizontal="right"/>
    </xf>
    <xf numFmtId="173" fontId="0" fillId="0" borderId="66" xfId="0" applyNumberFormat="1" applyBorder="1" applyAlignment="1">
      <alignment horizontal="right"/>
    </xf>
    <xf numFmtId="173" fontId="0" fillId="0" borderId="147" xfId="0" applyNumberFormat="1" applyBorder="1"/>
    <xf numFmtId="173" fontId="0" fillId="0" borderId="145" xfId="0" applyNumberFormat="1" applyBorder="1"/>
    <xf numFmtId="173" fontId="0" fillId="0" borderId="143" xfId="0" applyNumberFormat="1" applyBorder="1"/>
    <xf numFmtId="173" fontId="0" fillId="15" borderId="0" xfId="0" applyNumberFormat="1" applyFill="1" applyAlignment="1">
      <alignment horizontal="center"/>
    </xf>
    <xf numFmtId="0" fontId="0" fillId="15" borderId="0" xfId="0" applyFill="1"/>
    <xf numFmtId="173" fontId="0" fillId="15" borderId="0" xfId="0" applyNumberFormat="1" applyFill="1"/>
    <xf numFmtId="173" fontId="0" fillId="0" borderId="0" xfId="0" applyNumberFormat="1" applyFill="1"/>
    <xf numFmtId="172" fontId="0" fillId="0" borderId="0" xfId="0" applyNumberFormat="1" applyFill="1"/>
    <xf numFmtId="166" fontId="31" fillId="0" borderId="54" xfId="1" applyNumberFormat="1" applyFont="1" applyFill="1" applyBorder="1"/>
    <xf numFmtId="173" fontId="0" fillId="0" borderId="63" xfId="0" applyNumberFormat="1" applyFill="1" applyBorder="1"/>
    <xf numFmtId="173" fontId="0" fillId="0" borderId="67" xfId="0" applyNumberFormat="1" applyFill="1" applyBorder="1"/>
    <xf numFmtId="173" fontId="0" fillId="0" borderId="82" xfId="0" applyNumberFormat="1" applyFill="1" applyBorder="1"/>
    <xf numFmtId="173" fontId="31" fillId="0" borderId="83" xfId="0" applyNumberFormat="1" applyFont="1" applyFill="1" applyBorder="1" applyAlignment="1">
      <alignment horizontal="right"/>
    </xf>
    <xf numFmtId="173" fontId="31" fillId="0" borderId="63" xfId="0" applyNumberFormat="1" applyFont="1" applyFill="1" applyBorder="1"/>
    <xf numFmtId="173" fontId="31" fillId="0" borderId="81" xfId="0" applyNumberFormat="1" applyFont="1" applyFill="1" applyBorder="1"/>
    <xf numFmtId="173" fontId="31" fillId="0" borderId="67" xfId="0" applyNumberFormat="1" applyFont="1" applyFill="1" applyBorder="1"/>
    <xf numFmtId="173" fontId="31" fillId="0" borderId="84" xfId="0" applyNumberFormat="1" applyFont="1" applyFill="1" applyBorder="1" applyAlignment="1">
      <alignment horizontal="right"/>
    </xf>
    <xf numFmtId="173" fontId="31" fillId="0" borderId="82" xfId="0" applyNumberFormat="1" applyFont="1" applyFill="1" applyBorder="1"/>
    <xf numFmtId="166" fontId="0" fillId="15" borderId="0" xfId="1" applyNumberFormat="1" applyFont="1" applyFill="1"/>
    <xf numFmtId="0" fontId="45" fillId="0" borderId="77" xfId="0" applyFont="1" applyBorder="1"/>
    <xf numFmtId="0" fontId="0" fillId="0" borderId="64" xfId="0" applyBorder="1"/>
    <xf numFmtId="0" fontId="45" fillId="0" borderId="148" xfId="0" applyFont="1" applyBorder="1"/>
    <xf numFmtId="173" fontId="0" fillId="0" borderId="149" xfId="0" applyNumberFormat="1" applyBorder="1"/>
    <xf numFmtId="173" fontId="0" fillId="0" borderId="150" xfId="0" applyNumberFormat="1" applyBorder="1"/>
    <xf numFmtId="173" fontId="0" fillId="0" borderId="61" xfId="0" applyNumberFormat="1" applyFill="1" applyBorder="1"/>
    <xf numFmtId="173" fontId="0" fillId="0" borderId="88" xfId="0" applyNumberFormat="1" applyFill="1" applyBorder="1"/>
    <xf numFmtId="173" fontId="0" fillId="0" borderId="66" xfId="0" applyNumberFormat="1" applyFill="1" applyBorder="1"/>
  </cellXfs>
  <cellStyles count="10">
    <cellStyle name="Čiarka" xfId="1" builtinId="3"/>
    <cellStyle name="Čiarka 2" xfId="8" xr:uid="{00000000-0005-0000-0000-000001000000}"/>
    <cellStyle name="Explanatory Text" xfId="6" xr:uid="{00000000-0005-0000-0000-000002000000}"/>
    <cellStyle name="Normal 2 2 2" xfId="5" xr:uid="{00000000-0005-0000-0000-000004000000}"/>
    <cellStyle name="Normal 9" xfId="4" xr:uid="{00000000-0005-0000-0000-000005000000}"/>
    <cellStyle name="Normálna" xfId="0" builtinId="0"/>
    <cellStyle name="Normálna 2" xfId="3" xr:uid="{00000000-0005-0000-0000-000006000000}"/>
    <cellStyle name="normálne 2 21" xfId="9" xr:uid="{00000000-0005-0000-0000-000007000000}"/>
    <cellStyle name="Percentá" xfId="2" builtinId="5"/>
    <cellStyle name="Percentá 2" xfId="7" xr:uid="{00000000-0005-0000-0000-000009000000}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99"/>
      <color rgb="FF66CCFF"/>
      <color rgb="FF8BE17D"/>
      <color rgb="FFCCFFCC"/>
      <color rgb="FFE7E9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M79"/>
  <sheetViews>
    <sheetView showGridLines="0" tabSelected="1" zoomScale="90" zoomScaleNormal="90" workbookViewId="0">
      <selection activeCell="C9" sqref="C9"/>
    </sheetView>
  </sheetViews>
  <sheetFormatPr defaultColWidth="11.5546875" defaultRowHeight="14.4" x14ac:dyDescent="0.3"/>
  <cols>
    <col min="1" max="1" width="33.21875" bestFit="1" customWidth="1"/>
    <col min="2" max="2" width="24" customWidth="1"/>
    <col min="3" max="3" width="19.77734375" bestFit="1" customWidth="1"/>
    <col min="4" max="4" width="18.44140625" customWidth="1"/>
    <col min="5" max="5" width="14.21875" customWidth="1"/>
    <col min="6" max="6" width="12.88671875" customWidth="1"/>
    <col min="7" max="7" width="5.88671875" customWidth="1"/>
    <col min="8" max="8" width="19.44140625" bestFit="1" customWidth="1"/>
    <col min="9" max="9" width="17.5546875" bestFit="1" customWidth="1"/>
  </cols>
  <sheetData>
    <row r="1" spans="1:13" ht="16.2" thickBot="1" x14ac:dyDescent="0.35">
      <c r="B1" s="574" t="s">
        <v>190</v>
      </c>
      <c r="C1" s="575"/>
      <c r="D1" s="569" t="s">
        <v>191</v>
      </c>
      <c r="E1" s="570"/>
      <c r="F1" s="570"/>
      <c r="G1" s="269"/>
      <c r="H1" s="569" t="s">
        <v>191</v>
      </c>
      <c r="I1" s="570"/>
      <c r="J1" s="570"/>
    </row>
    <row r="2" spans="1:13" ht="28.8" customHeight="1" thickBot="1" x14ac:dyDescent="0.35">
      <c r="B2" s="576" t="s">
        <v>239</v>
      </c>
      <c r="C2" s="577"/>
      <c r="D2" s="583" t="s">
        <v>239</v>
      </c>
      <c r="E2" s="584"/>
      <c r="F2" s="585"/>
      <c r="G2" s="252"/>
      <c r="H2" s="566" t="s">
        <v>240</v>
      </c>
      <c r="I2" s="567"/>
      <c r="J2" s="568"/>
    </row>
    <row r="3" spans="1:13" ht="28.8" x14ac:dyDescent="0.3">
      <c r="A3" s="266" t="s">
        <v>228</v>
      </c>
      <c r="B3" s="262" t="s">
        <v>264</v>
      </c>
      <c r="C3" s="263" t="s">
        <v>248</v>
      </c>
      <c r="D3" s="262" t="s">
        <v>265</v>
      </c>
      <c r="E3" s="263" t="s">
        <v>243</v>
      </c>
      <c r="F3" s="263" t="s">
        <v>231</v>
      </c>
      <c r="G3" s="241"/>
      <c r="H3" s="265" t="s">
        <v>229</v>
      </c>
      <c r="I3" s="261" t="s">
        <v>230</v>
      </c>
      <c r="J3" s="263" t="s">
        <v>231</v>
      </c>
    </row>
    <row r="4" spans="1:13" x14ac:dyDescent="0.3">
      <c r="A4" s="267" t="s">
        <v>232</v>
      </c>
      <c r="B4" s="253">
        <f>Alternatívy!C55</f>
        <v>1060278.6527883359</v>
      </c>
      <c r="C4" s="652">
        <f>Alternatívy!C56</f>
        <v>200000</v>
      </c>
      <c r="D4" s="653">
        <f>H4/15</f>
        <v>2190680.7999999998</v>
      </c>
      <c r="E4" s="654">
        <v>0</v>
      </c>
      <c r="F4" s="655">
        <f>J4/15</f>
        <v>-16666.666666666668</v>
      </c>
      <c r="G4" s="242"/>
      <c r="H4" s="253">
        <f>-'MZ SR + VšZP Prev. výd. bez pre'!C86</f>
        <v>32860212</v>
      </c>
      <c r="I4" s="242"/>
      <c r="J4" s="255">
        <f>-'Fit out contribution'!D7</f>
        <v>-250000</v>
      </c>
    </row>
    <row r="5" spans="1:13" x14ac:dyDescent="0.3">
      <c r="A5" s="267" t="s">
        <v>188</v>
      </c>
      <c r="B5" s="253">
        <f>Alternatívy!C150</f>
        <v>829362.63639999996</v>
      </c>
      <c r="C5" s="656">
        <f>Alternatívy!C151</f>
        <v>120000</v>
      </c>
      <c r="D5" s="653">
        <f>H5/15</f>
        <v>366103.88146396802</v>
      </c>
      <c r="E5" s="657">
        <f>I5/15</f>
        <v>200000</v>
      </c>
      <c r="F5" s="655">
        <v>0</v>
      </c>
      <c r="G5" s="242"/>
      <c r="H5" s="253">
        <f>Alternatívy!C391*15</f>
        <v>5491558.2219595201</v>
      </c>
      <c r="I5" s="242">
        <f>Alternatívy!C56*15</f>
        <v>3000000</v>
      </c>
      <c r="J5" s="255"/>
    </row>
    <row r="6" spans="1:13" x14ac:dyDescent="0.3">
      <c r="A6" s="267" t="s">
        <v>233</v>
      </c>
      <c r="B6" s="253">
        <f>Alternatívy!C172</f>
        <v>556977.10800000001</v>
      </c>
      <c r="C6" s="656">
        <v>0</v>
      </c>
      <c r="D6" s="653">
        <v>0</v>
      </c>
      <c r="E6" s="657">
        <v>0</v>
      </c>
      <c r="F6" s="655">
        <v>0</v>
      </c>
      <c r="G6" s="242"/>
      <c r="H6" s="253"/>
      <c r="I6" s="242"/>
      <c r="J6" s="255"/>
    </row>
    <row r="7" spans="1:13" ht="15" thickBot="1" x14ac:dyDescent="0.35">
      <c r="A7" s="628" t="s">
        <v>244</v>
      </c>
      <c r="B7" s="258">
        <f>SUM(B4:C6)</f>
        <v>2766618.3971883357</v>
      </c>
      <c r="C7" s="264"/>
      <c r="D7" s="258">
        <f>SUM(D4:F6)</f>
        <v>2740118.0147973015</v>
      </c>
      <c r="E7" s="259"/>
      <c r="F7" s="260"/>
      <c r="G7" s="242"/>
      <c r="H7" s="254"/>
      <c r="I7" s="256"/>
      <c r="J7" s="257"/>
    </row>
    <row r="9" spans="1:13" ht="14.4" customHeight="1" x14ac:dyDescent="0.3">
      <c r="B9" s="632"/>
      <c r="C9" s="633"/>
      <c r="D9" s="244">
        <f>B7-D7</f>
        <v>26500.38239103416</v>
      </c>
      <c r="E9" s="242"/>
      <c r="F9" t="s">
        <v>242</v>
      </c>
    </row>
    <row r="10" spans="1:13" ht="16.2" x14ac:dyDescent="0.3">
      <c r="B10" s="634"/>
      <c r="C10" s="633"/>
      <c r="D10" s="245">
        <f>D9/12/7500</f>
        <v>0.29444869323371287</v>
      </c>
      <c r="F10" t="s">
        <v>241</v>
      </c>
    </row>
    <row r="11" spans="1:13" x14ac:dyDescent="0.3">
      <c r="B11" s="634"/>
      <c r="C11" s="633"/>
      <c r="D11" s="245"/>
    </row>
    <row r="12" spans="1:13" ht="15" thickBot="1" x14ac:dyDescent="0.35">
      <c r="A12" s="628" t="s">
        <v>291</v>
      </c>
      <c r="B12" s="635">
        <f>B7*15</f>
        <v>41499275.957825035</v>
      </c>
      <c r="C12" s="636"/>
      <c r="D12" s="258">
        <f>D7*15</f>
        <v>41101770.221959524</v>
      </c>
      <c r="E12" s="259"/>
      <c r="F12" s="260">
        <f>B12-D12</f>
        <v>397505.735865511</v>
      </c>
      <c r="G12" s="242"/>
      <c r="I12" s="242"/>
      <c r="J12" s="242"/>
    </row>
    <row r="13" spans="1:13" x14ac:dyDescent="0.3">
      <c r="A13" s="629"/>
      <c r="B13" s="637"/>
      <c r="C13" s="638"/>
      <c r="D13" s="630"/>
      <c r="E13" s="631"/>
      <c r="F13" s="631"/>
      <c r="G13" s="242"/>
      <c r="I13" s="242"/>
      <c r="J13" s="242"/>
    </row>
    <row r="14" spans="1:13" x14ac:dyDescent="0.3">
      <c r="B14" s="634"/>
      <c r="C14" s="633"/>
      <c r="E14" s="643">
        <f>I14/15</f>
        <v>-173333.33333333334</v>
      </c>
      <c r="F14" s="644"/>
      <c r="G14" s="645"/>
      <c r="H14" s="644"/>
      <c r="I14" s="658">
        <v>-2600000</v>
      </c>
      <c r="J14" s="644"/>
      <c r="K14" s="644" t="s">
        <v>245</v>
      </c>
      <c r="L14" s="644"/>
      <c r="M14" s="644"/>
    </row>
    <row r="15" spans="1:13" x14ac:dyDescent="0.3">
      <c r="B15" s="634"/>
      <c r="C15" s="633"/>
      <c r="E15" s="271"/>
      <c r="G15" s="242"/>
    </row>
    <row r="16" spans="1:13" x14ac:dyDescent="0.3">
      <c r="A16" s="240" t="s">
        <v>244</v>
      </c>
      <c r="B16" s="243">
        <f>B7</f>
        <v>2766618.3971883357</v>
      </c>
      <c r="C16" s="248"/>
      <c r="D16" s="243">
        <f>D7+E14</f>
        <v>2566784.681463968</v>
      </c>
    </row>
    <row r="17" spans="1:11" x14ac:dyDescent="0.3">
      <c r="C17" s="247"/>
      <c r="D17" s="244">
        <f>B16-D16</f>
        <v>199833.71572436765</v>
      </c>
      <c r="F17" t="s">
        <v>246</v>
      </c>
    </row>
    <row r="18" spans="1:11" ht="16.2" x14ac:dyDescent="0.3">
      <c r="C18" s="247"/>
      <c r="D18" s="245">
        <f>D17/12/7500</f>
        <v>2.2203746191596405</v>
      </c>
      <c r="F18" t="s">
        <v>247</v>
      </c>
    </row>
    <row r="19" spans="1:11" x14ac:dyDescent="0.3">
      <c r="C19" s="247"/>
      <c r="E19" s="246" t="s">
        <v>196</v>
      </c>
      <c r="F19" s="246"/>
      <c r="G19" s="246"/>
      <c r="H19" s="246"/>
      <c r="I19" s="246"/>
      <c r="J19" s="246"/>
    </row>
    <row r="20" spans="1:11" ht="15" thickBot="1" x14ac:dyDescent="0.35">
      <c r="A20" s="628" t="s">
        <v>292</v>
      </c>
      <c r="B20" s="258">
        <f>B16*15</f>
        <v>41499275.957825035</v>
      </c>
      <c r="C20" s="264"/>
      <c r="D20" s="258">
        <f>D16*15</f>
        <v>38501770.221959516</v>
      </c>
      <c r="E20" s="259"/>
      <c r="F20" s="260">
        <f>B20-D20</f>
        <v>2997505.7358655185</v>
      </c>
      <c r="G20" s="246"/>
      <c r="H20" s="246"/>
      <c r="I20" s="246"/>
      <c r="J20" s="246"/>
    </row>
    <row r="21" spans="1:11" x14ac:dyDescent="0.3">
      <c r="C21" s="247"/>
      <c r="E21" s="246"/>
      <c r="F21" s="246"/>
      <c r="G21" s="246"/>
      <c r="H21" s="246"/>
      <c r="I21" s="246"/>
      <c r="J21" s="246"/>
    </row>
    <row r="22" spans="1:11" x14ac:dyDescent="0.3">
      <c r="C22" s="247"/>
      <c r="E22" s="246"/>
      <c r="F22" s="246"/>
      <c r="G22" s="246"/>
      <c r="H22" s="246"/>
      <c r="I22" s="246"/>
      <c r="J22" s="246"/>
    </row>
    <row r="23" spans="1:11" x14ac:dyDescent="0.3">
      <c r="C23" s="247"/>
      <c r="E23" s="246"/>
      <c r="F23" s="246"/>
      <c r="G23" s="246"/>
      <c r="H23" s="246"/>
      <c r="I23" s="246"/>
      <c r="J23" s="246"/>
    </row>
    <row r="24" spans="1:11" ht="15" thickBot="1" x14ac:dyDescent="0.35">
      <c r="C24" s="247"/>
    </row>
    <row r="25" spans="1:11" ht="16.2" customHeight="1" thickBot="1" x14ac:dyDescent="0.35">
      <c r="B25" s="574" t="s">
        <v>190</v>
      </c>
      <c r="C25" s="575"/>
      <c r="D25" s="569" t="s">
        <v>191</v>
      </c>
      <c r="E25" s="570"/>
      <c r="F25" s="579"/>
      <c r="G25" s="269"/>
      <c r="H25" s="269"/>
      <c r="I25" s="269"/>
      <c r="J25" s="269"/>
    </row>
    <row r="26" spans="1:11" ht="15.6" customHeight="1" thickBot="1" x14ac:dyDescent="0.35">
      <c r="B26" s="576" t="s">
        <v>239</v>
      </c>
      <c r="C26" s="577"/>
      <c r="D26" s="576" t="s">
        <v>239</v>
      </c>
      <c r="E26" s="578"/>
      <c r="F26" s="577"/>
      <c r="G26" s="252"/>
      <c r="H26" s="580" t="s">
        <v>240</v>
      </c>
      <c r="I26" s="581"/>
      <c r="J26" s="582"/>
    </row>
    <row r="27" spans="1:11" ht="29.4" thickBot="1" x14ac:dyDescent="0.35">
      <c r="A27" s="266" t="s">
        <v>228</v>
      </c>
      <c r="B27" s="262" t="s">
        <v>288</v>
      </c>
      <c r="C27" s="263" t="s">
        <v>289</v>
      </c>
      <c r="D27" s="262" t="s">
        <v>290</v>
      </c>
      <c r="E27" s="263" t="s">
        <v>248</v>
      </c>
      <c r="F27" s="263" t="s">
        <v>231</v>
      </c>
      <c r="G27" s="241"/>
      <c r="H27" s="265" t="s">
        <v>229</v>
      </c>
      <c r="I27" s="261" t="s">
        <v>230</v>
      </c>
      <c r="J27" s="263" t="s">
        <v>231</v>
      </c>
      <c r="K27" s="241"/>
    </row>
    <row r="28" spans="1:11" x14ac:dyDescent="0.3">
      <c r="A28" s="267" t="s">
        <v>235</v>
      </c>
      <c r="B28" s="640">
        <f>Alternatívy!C65</f>
        <v>1828532.88</v>
      </c>
      <c r="C28" s="639">
        <v>0</v>
      </c>
      <c r="D28" s="664">
        <f>H28/15</f>
        <v>3097828.8</v>
      </c>
      <c r="E28" s="665">
        <v>0</v>
      </c>
      <c r="F28" s="666">
        <f>J28/15</f>
        <v>-16400</v>
      </c>
      <c r="G28" s="242"/>
      <c r="H28" s="253">
        <f>-'MZ SR + VšZP Prev. výd. bez pre'!C97</f>
        <v>46467432</v>
      </c>
      <c r="I28" s="242"/>
      <c r="J28" s="255">
        <f>-'Fit out contribution'!E7</f>
        <v>-246000</v>
      </c>
    </row>
    <row r="29" spans="1:11" x14ac:dyDescent="0.3">
      <c r="A29" s="267" t="s">
        <v>236</v>
      </c>
      <c r="B29" s="641">
        <f>Alternatívy!C86</f>
        <v>386877.30540000001</v>
      </c>
      <c r="C29" s="631">
        <f>Alternatívy!C115</f>
        <v>289050</v>
      </c>
      <c r="D29" s="649">
        <v>0</v>
      </c>
      <c r="E29" s="651">
        <v>0</v>
      </c>
      <c r="F29" s="650">
        <v>0</v>
      </c>
      <c r="G29" s="242"/>
      <c r="H29" s="253"/>
      <c r="I29" s="242"/>
      <c r="J29" s="255"/>
    </row>
    <row r="30" spans="1:11" x14ac:dyDescent="0.3">
      <c r="A30" s="267" t="s">
        <v>237</v>
      </c>
      <c r="B30" s="642">
        <f>Alternatívy!C103</f>
        <v>346015.35308000003</v>
      </c>
      <c r="C30" s="631">
        <f>Alternatívy!C116</f>
        <v>239850</v>
      </c>
      <c r="D30" s="649">
        <v>0</v>
      </c>
      <c r="E30" s="651">
        <v>0</v>
      </c>
      <c r="F30" s="650">
        <v>0</v>
      </c>
      <c r="G30" s="242"/>
      <c r="H30" s="253"/>
      <c r="I30" s="242"/>
      <c r="J30" s="255"/>
    </row>
    <row r="31" spans="1:11" ht="15" thickBot="1" x14ac:dyDescent="0.35">
      <c r="A31" s="268" t="s">
        <v>244</v>
      </c>
      <c r="B31" s="258">
        <f>SUM(B28:C30)</f>
        <v>3090325.5384799996</v>
      </c>
      <c r="C31" s="272"/>
      <c r="D31" s="258">
        <f>SUM(D28:F30)</f>
        <v>3081428.8</v>
      </c>
      <c r="E31" s="259"/>
      <c r="F31" s="260"/>
      <c r="G31" s="242"/>
      <c r="H31" s="254"/>
      <c r="I31" s="256"/>
      <c r="J31" s="257"/>
    </row>
    <row r="32" spans="1:11" x14ac:dyDescent="0.3">
      <c r="G32" s="242"/>
      <c r="I32" s="242"/>
      <c r="J32" s="242"/>
    </row>
    <row r="33" spans="1:13" x14ac:dyDescent="0.3">
      <c r="B33" s="242"/>
      <c r="C33" s="242"/>
      <c r="D33" s="244">
        <f>B31-D31</f>
        <v>8896.7384799998254</v>
      </c>
      <c r="E33" s="242"/>
      <c r="F33" t="s">
        <v>255</v>
      </c>
      <c r="G33" s="242"/>
      <c r="H33" s="242"/>
      <c r="I33" s="242"/>
      <c r="J33" s="242"/>
    </row>
    <row r="34" spans="1:13" ht="16.2" x14ac:dyDescent="0.3">
      <c r="C34" s="242"/>
      <c r="D34" s="246">
        <f>D33/10400/12</f>
        <v>7.1287968589742193E-2</v>
      </c>
      <c r="F34" t="s">
        <v>256</v>
      </c>
    </row>
    <row r="35" spans="1:13" x14ac:dyDescent="0.3">
      <c r="D35" s="246"/>
    </row>
    <row r="36" spans="1:13" ht="15" thickBot="1" x14ac:dyDescent="0.35">
      <c r="A36" s="268" t="s">
        <v>291</v>
      </c>
      <c r="B36" s="258">
        <f>B31*15</f>
        <v>46354883.077199996</v>
      </c>
      <c r="C36" s="272"/>
      <c r="D36" s="258">
        <f>D31*15</f>
        <v>46221432</v>
      </c>
      <c r="E36" s="259"/>
      <c r="F36" s="260">
        <f>B36-D36</f>
        <v>133451.07719999552</v>
      </c>
    </row>
    <row r="37" spans="1:13" x14ac:dyDescent="0.3">
      <c r="D37" s="246"/>
    </row>
    <row r="38" spans="1:13" x14ac:dyDescent="0.3">
      <c r="E38" s="645">
        <f>I38/15</f>
        <v>-146666.66666666666</v>
      </c>
      <c r="F38" s="645"/>
      <c r="G38" s="645"/>
      <c r="H38" s="645"/>
      <c r="I38" s="645">
        <v>-2200000</v>
      </c>
      <c r="J38" s="645"/>
      <c r="K38" s="644" t="s">
        <v>257</v>
      </c>
      <c r="L38" s="644"/>
      <c r="M38" s="644"/>
    </row>
    <row r="39" spans="1:13" x14ac:dyDescent="0.3">
      <c r="E39" s="645">
        <f>I39/15</f>
        <v>-160000</v>
      </c>
      <c r="F39" s="645"/>
      <c r="G39" s="645"/>
      <c r="H39" s="645"/>
      <c r="I39" s="645">
        <v>-2400000</v>
      </c>
      <c r="J39" s="645"/>
      <c r="K39" s="644" t="s">
        <v>258</v>
      </c>
      <c r="L39" s="644"/>
      <c r="M39" s="644"/>
    </row>
    <row r="40" spans="1:13" x14ac:dyDescent="0.3">
      <c r="E40" s="646"/>
      <c r="F40" s="646"/>
      <c r="G40" s="646"/>
      <c r="H40" s="646"/>
      <c r="I40" s="646"/>
      <c r="J40" s="646"/>
    </row>
    <row r="41" spans="1:13" x14ac:dyDescent="0.3">
      <c r="A41" s="240" t="s">
        <v>234</v>
      </c>
      <c r="B41" s="243">
        <f>B31</f>
        <v>3090325.5384799996</v>
      </c>
      <c r="C41" s="240"/>
      <c r="D41" s="243">
        <f>D31+E38+E39</f>
        <v>2774762.1333333333</v>
      </c>
    </row>
    <row r="42" spans="1:13" x14ac:dyDescent="0.3">
      <c r="D42" s="244">
        <f>B41-D41</f>
        <v>315563.40514666634</v>
      </c>
    </row>
    <row r="43" spans="1:13" x14ac:dyDescent="0.3">
      <c r="D43" s="246">
        <f>D42/10400/12</f>
        <v>2.5285529258546982</v>
      </c>
    </row>
    <row r="45" spans="1:13" ht="15" thickBot="1" x14ac:dyDescent="0.35">
      <c r="A45" s="628" t="s">
        <v>292</v>
      </c>
      <c r="B45" s="258">
        <f>B41*15</f>
        <v>46354883.077199996</v>
      </c>
      <c r="C45" s="264"/>
      <c r="D45" s="258">
        <f>D41*15</f>
        <v>41621432</v>
      </c>
      <c r="E45" s="259"/>
      <c r="F45" s="260">
        <f>B45-D45</f>
        <v>4733451.0771999955</v>
      </c>
    </row>
    <row r="47" spans="1:13" ht="15" thickBot="1" x14ac:dyDescent="0.35"/>
    <row r="48" spans="1:13" x14ac:dyDescent="0.3">
      <c r="A48" s="661" t="s">
        <v>293</v>
      </c>
      <c r="B48" s="662">
        <f>SUM(B12,B36)</f>
        <v>87854159.03502503</v>
      </c>
      <c r="C48" s="662"/>
      <c r="D48" s="662">
        <f>SUM(D12,D36)</f>
        <v>87323202.221959531</v>
      </c>
      <c r="E48" s="662"/>
      <c r="F48" s="663">
        <f>B48-D48</f>
        <v>530956.81306549907</v>
      </c>
    </row>
    <row r="49" spans="1:8" ht="15" thickBot="1" x14ac:dyDescent="0.35">
      <c r="A49" s="659" t="s">
        <v>294</v>
      </c>
      <c r="B49" s="256">
        <f>SUM(B20,B45)</f>
        <v>87854159.03502503</v>
      </c>
      <c r="C49" s="660"/>
      <c r="D49" s="256">
        <f>SUM(D20,D45)</f>
        <v>80123202.221959516</v>
      </c>
      <c r="E49" s="660"/>
      <c r="F49" s="257">
        <f>B49-D49</f>
        <v>7730956.813065514</v>
      </c>
    </row>
    <row r="51" spans="1:8" ht="15" thickBot="1" x14ac:dyDescent="0.35"/>
    <row r="52" spans="1:8" ht="16.2" thickBot="1" x14ac:dyDescent="0.35">
      <c r="A52" s="571" t="s">
        <v>259</v>
      </c>
      <c r="B52" s="572"/>
      <c r="C52" s="573"/>
    </row>
    <row r="55" spans="1:8" x14ac:dyDescent="0.3">
      <c r="A55" s="186"/>
      <c r="B55" s="187" t="s">
        <v>190</v>
      </c>
      <c r="C55" s="188" t="s">
        <v>191</v>
      </c>
    </row>
    <row r="56" spans="1:8" ht="21" customHeight="1" x14ac:dyDescent="0.3">
      <c r="A56" s="187" t="s">
        <v>186</v>
      </c>
      <c r="B56" s="277">
        <f>$B$4+$C$4</f>
        <v>1260278.6527883359</v>
      </c>
      <c r="C56" s="280">
        <f>$D$4+$E$4+$F$4</f>
        <v>2174014.1333333333</v>
      </c>
    </row>
    <row r="57" spans="1:8" ht="21" customHeight="1" x14ac:dyDescent="0.3">
      <c r="A57" s="189" t="s">
        <v>188</v>
      </c>
      <c r="B57" s="277">
        <f>$B$5+$C$5</f>
        <v>949362.63639999996</v>
      </c>
      <c r="C57" s="280">
        <f>$D$5+$E$5+$F$5</f>
        <v>566103.88146396796</v>
      </c>
    </row>
    <row r="58" spans="1:8" ht="21" customHeight="1" x14ac:dyDescent="0.3">
      <c r="A58" s="190" t="s">
        <v>189</v>
      </c>
      <c r="B58" s="277">
        <f>$B$6+$C$6</f>
        <v>556977.10800000001</v>
      </c>
      <c r="C58" s="280">
        <f>$D$6+$E$6+$F$6</f>
        <v>0</v>
      </c>
      <c r="D58" t="s">
        <v>196</v>
      </c>
    </row>
    <row r="59" spans="1:8" ht="21" customHeight="1" x14ac:dyDescent="0.3">
      <c r="A59" s="188" t="s">
        <v>187</v>
      </c>
      <c r="B59" s="648">
        <f>$B$31</f>
        <v>3090325.5384799996</v>
      </c>
      <c r="C59" s="280">
        <f>$D$31</f>
        <v>3081428.8</v>
      </c>
    </row>
    <row r="60" spans="1:8" ht="21" customHeight="1" x14ac:dyDescent="0.3">
      <c r="A60" s="229" t="s">
        <v>193</v>
      </c>
      <c r="B60" s="278">
        <f>SUM(B56:B59)</f>
        <v>5856943.9356683353</v>
      </c>
      <c r="C60" s="281">
        <f>SUM(C56:C59)</f>
        <v>5821546.8147973008</v>
      </c>
      <c r="D60" s="197"/>
    </row>
    <row r="61" spans="1:8" ht="34.200000000000003" customHeight="1" x14ac:dyDescent="0.3">
      <c r="A61" s="230" t="s">
        <v>194</v>
      </c>
      <c r="B61" s="279">
        <f>B60/1.23</f>
        <v>4761743.0371287279</v>
      </c>
      <c r="C61" s="279">
        <f>C60/1.23</f>
        <v>4732964.8900791062</v>
      </c>
    </row>
    <row r="62" spans="1:8" x14ac:dyDescent="0.3">
      <c r="D62" s="283" t="s">
        <v>269</v>
      </c>
    </row>
    <row r="63" spans="1:8" ht="21" x14ac:dyDescent="0.4">
      <c r="A63" s="239" t="s">
        <v>214</v>
      </c>
      <c r="B63" s="562">
        <f>B60-C60</f>
        <v>35397.120871034451</v>
      </c>
      <c r="C63" s="563"/>
      <c r="D63" s="282">
        <f>B63*15</f>
        <v>530956.81306551676</v>
      </c>
    </row>
    <row r="64" spans="1:8" ht="25.95" customHeight="1" x14ac:dyDescent="0.3">
      <c r="A64" s="239" t="s">
        <v>195</v>
      </c>
      <c r="B64" s="564">
        <f>B61-C61</f>
        <v>28778.147049621679</v>
      </c>
      <c r="C64" s="565"/>
      <c r="E64" s="197"/>
      <c r="F64" s="197"/>
      <c r="G64" s="197"/>
      <c r="H64" s="197"/>
    </row>
    <row r="66" spans="1:4" ht="15" thickBot="1" x14ac:dyDescent="0.35"/>
    <row r="67" spans="1:4" ht="16.2" thickBot="1" x14ac:dyDescent="0.35">
      <c r="A67" s="559" t="s">
        <v>260</v>
      </c>
      <c r="B67" s="560"/>
      <c r="C67" s="561"/>
    </row>
    <row r="70" spans="1:4" x14ac:dyDescent="0.3">
      <c r="A70" s="186"/>
      <c r="B70" s="187" t="s">
        <v>190</v>
      </c>
      <c r="C70" s="188" t="s">
        <v>191</v>
      </c>
    </row>
    <row r="71" spans="1:4" x14ac:dyDescent="0.3">
      <c r="A71" s="187" t="s">
        <v>186</v>
      </c>
      <c r="B71" s="277">
        <f>$B$4+$C$4</f>
        <v>1260278.6527883359</v>
      </c>
      <c r="C71" s="280">
        <f>$D$4+$E$4+$F$4</f>
        <v>2174014.1333333333</v>
      </c>
    </row>
    <row r="72" spans="1:4" x14ac:dyDescent="0.3">
      <c r="A72" s="189" t="s">
        <v>188</v>
      </c>
      <c r="B72" s="277">
        <f>$B$5+$C$5</f>
        <v>949362.63639999996</v>
      </c>
      <c r="C72" s="280">
        <f>$D$5+$E$5+$F$5+E14</f>
        <v>392770.54813063459</v>
      </c>
    </row>
    <row r="73" spans="1:4" x14ac:dyDescent="0.3">
      <c r="A73" s="190" t="s">
        <v>189</v>
      </c>
      <c r="B73" s="277">
        <f>$B$6+$C$6</f>
        <v>556977.10800000001</v>
      </c>
      <c r="C73" s="280">
        <f>$D$6+$E$6+$F$6</f>
        <v>0</v>
      </c>
    </row>
    <row r="74" spans="1:4" x14ac:dyDescent="0.3">
      <c r="A74" s="188" t="s">
        <v>187</v>
      </c>
      <c r="B74" s="277">
        <f>$B$31</f>
        <v>3090325.5384799996</v>
      </c>
      <c r="C74" s="280">
        <f>$D$31+$E$38+E39</f>
        <v>2774762.1333333333</v>
      </c>
    </row>
    <row r="75" spans="1:4" x14ac:dyDescent="0.3">
      <c r="A75" s="229" t="s">
        <v>193</v>
      </c>
      <c r="B75" s="278">
        <f>SUM(B71:B74)</f>
        <v>5856943.9356683353</v>
      </c>
      <c r="C75" s="281">
        <f>SUM(C71:C74)</f>
        <v>5341546.8147973008</v>
      </c>
    </row>
    <row r="76" spans="1:4" ht="21" x14ac:dyDescent="0.3">
      <c r="A76" s="230" t="s">
        <v>194</v>
      </c>
      <c r="B76" s="279">
        <f>B75/1.23</f>
        <v>4761743.0371287279</v>
      </c>
      <c r="C76" s="279">
        <f>C75/1.23</f>
        <v>4342720.9876400819</v>
      </c>
    </row>
    <row r="77" spans="1:4" x14ac:dyDescent="0.3">
      <c r="D77" s="283" t="s">
        <v>269</v>
      </c>
    </row>
    <row r="78" spans="1:4" ht="21" x14ac:dyDescent="0.4">
      <c r="A78" s="239" t="s">
        <v>214</v>
      </c>
      <c r="B78" s="562">
        <f>B75-C75</f>
        <v>515397.12087103445</v>
      </c>
      <c r="C78" s="563"/>
      <c r="D78" s="282">
        <f>B78*15</f>
        <v>7730956.8130655168</v>
      </c>
    </row>
    <row r="79" spans="1:4" ht="21" x14ac:dyDescent="0.3">
      <c r="A79" s="239" t="s">
        <v>195</v>
      </c>
      <c r="B79" s="564">
        <f>B76-C76</f>
        <v>419022.04948864598</v>
      </c>
      <c r="C79" s="565"/>
    </row>
  </sheetData>
  <mergeCells count="17">
    <mergeCell ref="D1:F1"/>
    <mergeCell ref="H1:J1"/>
    <mergeCell ref="A52:C52"/>
    <mergeCell ref="B25:C25"/>
    <mergeCell ref="B26:C26"/>
    <mergeCell ref="D26:F26"/>
    <mergeCell ref="D25:F25"/>
    <mergeCell ref="H26:J26"/>
    <mergeCell ref="B1:C1"/>
    <mergeCell ref="B2:C2"/>
    <mergeCell ref="D2:F2"/>
    <mergeCell ref="A67:C67"/>
    <mergeCell ref="B78:C78"/>
    <mergeCell ref="B79:C79"/>
    <mergeCell ref="H2:J2"/>
    <mergeCell ref="B63:C63"/>
    <mergeCell ref="B64:C64"/>
  </mergeCells>
  <conditionalFormatting sqref="F12">
    <cfRule type="cellIs" dxfId="13" priority="11" operator="lessThan">
      <formula>0</formula>
    </cfRule>
    <cfRule type="cellIs" dxfId="12" priority="12" operator="greaterThan">
      <formula>0</formula>
    </cfRule>
  </conditionalFormatting>
  <conditionalFormatting sqref="F20">
    <cfRule type="cellIs" dxfId="11" priority="9" operator="lessThan">
      <formula>0</formula>
    </cfRule>
    <cfRule type="cellIs" dxfId="10" priority="10" operator="greaterThan">
      <formula>0</formula>
    </cfRule>
  </conditionalFormatting>
  <conditionalFormatting sqref="F36">
    <cfRule type="cellIs" dxfId="9" priority="7" operator="lessThan">
      <formula>0</formula>
    </cfRule>
    <cfRule type="cellIs" dxfId="8" priority="8" operator="greaterThan">
      <formula>0</formula>
    </cfRule>
  </conditionalFormatting>
  <conditionalFormatting sqref="F45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F48:F49">
    <cfRule type="cellIs" dxfId="3" priority="3" operator="lessThan">
      <formula>0</formula>
    </cfRule>
    <cfRule type="cellIs" dxfId="2" priority="4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G22"/>
  <sheetViews>
    <sheetView workbookViewId="0"/>
  </sheetViews>
  <sheetFormatPr defaultColWidth="9.109375" defaultRowHeight="13.8" x14ac:dyDescent="0.3"/>
  <cols>
    <col min="1" max="1" width="2.6640625" style="1" customWidth="1"/>
    <col min="2" max="2" width="23.6640625" style="1" bestFit="1" customWidth="1"/>
    <col min="3" max="3" width="12.33203125" style="1" bestFit="1" customWidth="1"/>
    <col min="4" max="33" width="10.6640625" style="1" bestFit="1" customWidth="1"/>
    <col min="34" max="16384" width="9.109375" style="1"/>
  </cols>
  <sheetData>
    <row r="1" spans="2:33" x14ac:dyDescent="0.3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2:33" x14ac:dyDescent="0.3">
      <c r="B2" s="9" t="s">
        <v>46</v>
      </c>
      <c r="C2" s="9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6">
        <v>11</v>
      </c>
      <c r="O2" s="6">
        <v>12</v>
      </c>
      <c r="P2" s="6">
        <v>13</v>
      </c>
      <c r="Q2" s="6">
        <v>14</v>
      </c>
      <c r="R2" s="6">
        <v>15</v>
      </c>
      <c r="S2" s="6">
        <v>16</v>
      </c>
      <c r="T2" s="6">
        <v>17</v>
      </c>
      <c r="U2" s="6">
        <v>18</v>
      </c>
      <c r="V2" s="6">
        <v>19</v>
      </c>
      <c r="W2" s="6">
        <v>20</v>
      </c>
      <c r="X2" s="6">
        <v>21</v>
      </c>
      <c r="Y2" s="6">
        <v>22</v>
      </c>
      <c r="Z2" s="6">
        <v>23</v>
      </c>
      <c r="AA2" s="6">
        <v>24</v>
      </c>
      <c r="AB2" s="6">
        <v>25</v>
      </c>
      <c r="AC2" s="6">
        <v>26</v>
      </c>
      <c r="AD2" s="6">
        <v>27</v>
      </c>
      <c r="AE2" s="6">
        <v>28</v>
      </c>
      <c r="AF2" s="6">
        <v>29</v>
      </c>
      <c r="AG2" s="6">
        <v>30</v>
      </c>
    </row>
    <row r="3" spans="2:33" x14ac:dyDescent="0.3">
      <c r="B3" s="23" t="s">
        <v>53</v>
      </c>
      <c r="C3" s="23" t="s">
        <v>33</v>
      </c>
      <c r="D3" s="24">
        <v>2022</v>
      </c>
      <c r="E3" s="24">
        <f>$D$3+D2</f>
        <v>2023</v>
      </c>
      <c r="F3" s="24">
        <f>$D$3+E2</f>
        <v>2024</v>
      </c>
      <c r="G3" s="24">
        <f>$D$3+F2</f>
        <v>2025</v>
      </c>
      <c r="H3" s="24">
        <f t="shared" ref="H3:AG3" si="0">$D$3+G2</f>
        <v>2026</v>
      </c>
      <c r="I3" s="24">
        <f t="shared" si="0"/>
        <v>2027</v>
      </c>
      <c r="J3" s="24">
        <f t="shared" si="0"/>
        <v>2028</v>
      </c>
      <c r="K3" s="24">
        <f t="shared" si="0"/>
        <v>2029</v>
      </c>
      <c r="L3" s="24">
        <f t="shared" si="0"/>
        <v>2030</v>
      </c>
      <c r="M3" s="24">
        <f t="shared" si="0"/>
        <v>2031</v>
      </c>
      <c r="N3" s="24">
        <f t="shared" si="0"/>
        <v>2032</v>
      </c>
      <c r="O3" s="24">
        <f t="shared" si="0"/>
        <v>2033</v>
      </c>
      <c r="P3" s="24">
        <f t="shared" si="0"/>
        <v>2034</v>
      </c>
      <c r="Q3" s="24">
        <f t="shared" si="0"/>
        <v>2035</v>
      </c>
      <c r="R3" s="24">
        <f t="shared" si="0"/>
        <v>2036</v>
      </c>
      <c r="S3" s="24">
        <f t="shared" si="0"/>
        <v>2037</v>
      </c>
      <c r="T3" s="24">
        <f t="shared" si="0"/>
        <v>2038</v>
      </c>
      <c r="U3" s="24">
        <f t="shared" si="0"/>
        <v>2039</v>
      </c>
      <c r="V3" s="24">
        <f t="shared" si="0"/>
        <v>2040</v>
      </c>
      <c r="W3" s="24">
        <f t="shared" si="0"/>
        <v>2041</v>
      </c>
      <c r="X3" s="24">
        <f t="shared" si="0"/>
        <v>2042</v>
      </c>
      <c r="Y3" s="24">
        <f t="shared" si="0"/>
        <v>2043</v>
      </c>
      <c r="Z3" s="24">
        <f t="shared" si="0"/>
        <v>2044</v>
      </c>
      <c r="AA3" s="24">
        <f t="shared" si="0"/>
        <v>2045</v>
      </c>
      <c r="AB3" s="24">
        <f t="shared" si="0"/>
        <v>2046</v>
      </c>
      <c r="AC3" s="24">
        <f t="shared" si="0"/>
        <v>2047</v>
      </c>
      <c r="AD3" s="24">
        <f t="shared" si="0"/>
        <v>2048</v>
      </c>
      <c r="AE3" s="24">
        <f t="shared" si="0"/>
        <v>2049</v>
      </c>
      <c r="AF3" s="24">
        <f t="shared" si="0"/>
        <v>2050</v>
      </c>
      <c r="AG3" s="24">
        <f t="shared" si="0"/>
        <v>2051</v>
      </c>
    </row>
    <row r="4" spans="2:33" x14ac:dyDescent="0.3">
      <c r="B4" s="6" t="s">
        <v>72</v>
      </c>
      <c r="C4" s="17" t="e">
        <f>SUM(D4:AG4)</f>
        <v>#REF!</v>
      </c>
      <c r="D4" s="25" t="e">
        <f>-#REF!*#REF!*#REF!</f>
        <v>#REF!</v>
      </c>
      <c r="E4" s="25" t="e">
        <f>-#REF!*#REF!*#REF!</f>
        <v>#REF!</v>
      </c>
      <c r="F4" s="25" t="e">
        <f>-#REF!*#REF!*#REF!</f>
        <v>#REF!</v>
      </c>
      <c r="G4" s="25" t="e">
        <f>-#REF!*#REF!*#REF!</f>
        <v>#REF!</v>
      </c>
      <c r="H4" s="25" t="e">
        <f>-#REF!*#REF!*#REF!</f>
        <v>#REF!</v>
      </c>
      <c r="I4" s="25" t="e">
        <f>-#REF!*#REF!*#REF!</f>
        <v>#REF!</v>
      </c>
      <c r="J4" s="25" t="e">
        <f>-#REF!*#REF!*#REF!</f>
        <v>#REF!</v>
      </c>
      <c r="K4" s="25" t="e">
        <f>-#REF!*#REF!*#REF!</f>
        <v>#REF!</v>
      </c>
      <c r="L4" s="25" t="e">
        <f>-#REF!*#REF!*#REF!</f>
        <v>#REF!</v>
      </c>
      <c r="M4" s="25" t="e">
        <f>-#REF!*#REF!*#REF!</f>
        <v>#REF!</v>
      </c>
      <c r="N4" s="25" t="e">
        <f>-#REF!*#REF!*#REF!</f>
        <v>#REF!</v>
      </c>
      <c r="O4" s="25" t="e">
        <f>-#REF!*#REF!*#REF!</f>
        <v>#REF!</v>
      </c>
      <c r="P4" s="25" t="e">
        <f>-#REF!*#REF!*#REF!</f>
        <v>#REF!</v>
      </c>
      <c r="Q4" s="25" t="e">
        <f>-#REF!*#REF!*#REF!</f>
        <v>#REF!</v>
      </c>
      <c r="R4" s="25" t="e">
        <f>-#REF!*#REF!*#REF!</f>
        <v>#REF!</v>
      </c>
      <c r="S4" s="25" t="e">
        <f>-#REF!*#REF!*#REF!</f>
        <v>#REF!</v>
      </c>
      <c r="T4" s="25" t="e">
        <f>-#REF!*#REF!*#REF!</f>
        <v>#REF!</v>
      </c>
      <c r="U4" s="25" t="e">
        <f>-#REF!*#REF!*#REF!</f>
        <v>#REF!</v>
      </c>
      <c r="V4" s="25" t="e">
        <f>-#REF!*#REF!*#REF!</f>
        <v>#REF!</v>
      </c>
      <c r="W4" s="25" t="e">
        <f>-#REF!*#REF!*#REF!</f>
        <v>#REF!</v>
      </c>
      <c r="X4" s="25" t="e">
        <f>-#REF!*#REF!*#REF!</f>
        <v>#REF!</v>
      </c>
      <c r="Y4" s="25" t="e">
        <f>-#REF!*#REF!*#REF!</f>
        <v>#REF!</v>
      </c>
      <c r="Z4" s="25" t="e">
        <f>-#REF!*#REF!*#REF!</f>
        <v>#REF!</v>
      </c>
      <c r="AA4" s="25" t="e">
        <f>-#REF!*#REF!*#REF!</f>
        <v>#REF!</v>
      </c>
      <c r="AB4" s="25" t="e">
        <f>-#REF!*#REF!*#REF!</f>
        <v>#REF!</v>
      </c>
      <c r="AC4" s="25" t="e">
        <f>-#REF!*#REF!*#REF!</f>
        <v>#REF!</v>
      </c>
      <c r="AD4" s="25" t="e">
        <f>-#REF!*#REF!*#REF!</f>
        <v>#REF!</v>
      </c>
      <c r="AE4" s="25" t="e">
        <f>-#REF!*#REF!*#REF!</f>
        <v>#REF!</v>
      </c>
      <c r="AF4" s="25" t="e">
        <f>-#REF!*#REF!*#REF!</f>
        <v>#REF!</v>
      </c>
      <c r="AG4" s="25" t="e">
        <f>-#REF!*#REF!*#REF!</f>
        <v>#REF!</v>
      </c>
    </row>
    <row r="5" spans="2:33" x14ac:dyDescent="0.3">
      <c r="B5" s="9" t="s">
        <v>73</v>
      </c>
      <c r="C5" s="20" t="e">
        <f>SUM(D5:AG5)</f>
        <v>#REF!</v>
      </c>
      <c r="D5" s="20" t="e">
        <f t="shared" ref="D5:AG5" si="1">SUM(D4:D4)</f>
        <v>#REF!</v>
      </c>
      <c r="E5" s="20" t="e">
        <f t="shared" si="1"/>
        <v>#REF!</v>
      </c>
      <c r="F5" s="20" t="e">
        <f t="shared" si="1"/>
        <v>#REF!</v>
      </c>
      <c r="G5" s="20" t="e">
        <f t="shared" si="1"/>
        <v>#REF!</v>
      </c>
      <c r="H5" s="20" t="e">
        <f t="shared" si="1"/>
        <v>#REF!</v>
      </c>
      <c r="I5" s="20" t="e">
        <f t="shared" si="1"/>
        <v>#REF!</v>
      </c>
      <c r="J5" s="20" t="e">
        <f t="shared" si="1"/>
        <v>#REF!</v>
      </c>
      <c r="K5" s="20" t="e">
        <f t="shared" si="1"/>
        <v>#REF!</v>
      </c>
      <c r="L5" s="20" t="e">
        <f t="shared" si="1"/>
        <v>#REF!</v>
      </c>
      <c r="M5" s="20" t="e">
        <f t="shared" si="1"/>
        <v>#REF!</v>
      </c>
      <c r="N5" s="20" t="e">
        <f t="shared" si="1"/>
        <v>#REF!</v>
      </c>
      <c r="O5" s="20" t="e">
        <f t="shared" si="1"/>
        <v>#REF!</v>
      </c>
      <c r="P5" s="20" t="e">
        <f t="shared" si="1"/>
        <v>#REF!</v>
      </c>
      <c r="Q5" s="20" t="e">
        <f t="shared" si="1"/>
        <v>#REF!</v>
      </c>
      <c r="R5" s="20" t="e">
        <f t="shared" si="1"/>
        <v>#REF!</v>
      </c>
      <c r="S5" s="20" t="e">
        <f t="shared" si="1"/>
        <v>#REF!</v>
      </c>
      <c r="T5" s="20" t="e">
        <f t="shared" si="1"/>
        <v>#REF!</v>
      </c>
      <c r="U5" s="20" t="e">
        <f t="shared" si="1"/>
        <v>#REF!</v>
      </c>
      <c r="V5" s="20" t="e">
        <f t="shared" si="1"/>
        <v>#REF!</v>
      </c>
      <c r="W5" s="20" t="e">
        <f t="shared" si="1"/>
        <v>#REF!</v>
      </c>
      <c r="X5" s="20" t="e">
        <f t="shared" si="1"/>
        <v>#REF!</v>
      </c>
      <c r="Y5" s="20" t="e">
        <f t="shared" si="1"/>
        <v>#REF!</v>
      </c>
      <c r="Z5" s="20" t="e">
        <f t="shared" si="1"/>
        <v>#REF!</v>
      </c>
      <c r="AA5" s="20" t="e">
        <f t="shared" si="1"/>
        <v>#REF!</v>
      </c>
      <c r="AB5" s="20" t="e">
        <f t="shared" si="1"/>
        <v>#REF!</v>
      </c>
      <c r="AC5" s="20" t="e">
        <f t="shared" si="1"/>
        <v>#REF!</v>
      </c>
      <c r="AD5" s="20" t="e">
        <f t="shared" si="1"/>
        <v>#REF!</v>
      </c>
      <c r="AE5" s="20" t="e">
        <f t="shared" si="1"/>
        <v>#REF!</v>
      </c>
      <c r="AF5" s="20" t="e">
        <f t="shared" si="1"/>
        <v>#REF!</v>
      </c>
      <c r="AG5" s="20" t="e">
        <f t="shared" si="1"/>
        <v>#REF!</v>
      </c>
    </row>
    <row r="6" spans="2:33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2:33" x14ac:dyDescent="0.3">
      <c r="B7" s="9" t="s">
        <v>50</v>
      </c>
      <c r="C7" s="9"/>
      <c r="D7" s="27">
        <v>1</v>
      </c>
      <c r="E7" s="27">
        <v>2</v>
      </c>
      <c r="F7" s="27">
        <v>3</v>
      </c>
      <c r="G7" s="27">
        <v>4</v>
      </c>
      <c r="H7" s="27">
        <v>5</v>
      </c>
      <c r="I7" s="27">
        <v>6</v>
      </c>
      <c r="J7" s="27">
        <v>7</v>
      </c>
      <c r="K7" s="27">
        <v>8</v>
      </c>
      <c r="L7" s="27">
        <v>9</v>
      </c>
      <c r="M7" s="27">
        <v>10</v>
      </c>
      <c r="N7" s="27">
        <v>11</v>
      </c>
      <c r="O7" s="27">
        <v>12</v>
      </c>
      <c r="P7" s="27">
        <v>13</v>
      </c>
      <c r="Q7" s="27">
        <v>14</v>
      </c>
      <c r="R7" s="27">
        <v>15</v>
      </c>
      <c r="S7" s="27">
        <v>16</v>
      </c>
      <c r="T7" s="27">
        <v>17</v>
      </c>
      <c r="U7" s="27">
        <v>18</v>
      </c>
      <c r="V7" s="27">
        <v>19</v>
      </c>
      <c r="W7" s="27">
        <v>20</v>
      </c>
      <c r="X7" s="27">
        <v>21</v>
      </c>
      <c r="Y7" s="27">
        <v>22</v>
      </c>
      <c r="Z7" s="27">
        <v>23</v>
      </c>
      <c r="AA7" s="27">
        <v>24</v>
      </c>
      <c r="AB7" s="27">
        <v>25</v>
      </c>
      <c r="AC7" s="27">
        <v>26</v>
      </c>
      <c r="AD7" s="27">
        <v>27</v>
      </c>
      <c r="AE7" s="27">
        <v>28</v>
      </c>
      <c r="AF7" s="27">
        <v>29</v>
      </c>
      <c r="AG7" s="27">
        <v>30</v>
      </c>
    </row>
    <row r="8" spans="2:33" x14ac:dyDescent="0.3">
      <c r="B8" s="23" t="s">
        <v>58</v>
      </c>
      <c r="C8" s="23" t="s">
        <v>33</v>
      </c>
      <c r="D8" s="24">
        <f>D3</f>
        <v>2022</v>
      </c>
      <c r="E8" s="24">
        <f>$D$3+D7</f>
        <v>2023</v>
      </c>
      <c r="F8" s="24">
        <f>$D$3+E7</f>
        <v>2024</v>
      </c>
      <c r="G8" s="24">
        <f>$D$3+F7</f>
        <v>2025</v>
      </c>
      <c r="H8" s="24">
        <f t="shared" ref="H8:AG8" si="2">$D$3+G7</f>
        <v>2026</v>
      </c>
      <c r="I8" s="24">
        <f t="shared" si="2"/>
        <v>2027</v>
      </c>
      <c r="J8" s="24">
        <f t="shared" si="2"/>
        <v>2028</v>
      </c>
      <c r="K8" s="24">
        <f t="shared" si="2"/>
        <v>2029</v>
      </c>
      <c r="L8" s="24">
        <f t="shared" si="2"/>
        <v>2030</v>
      </c>
      <c r="M8" s="24">
        <f t="shared" si="2"/>
        <v>2031</v>
      </c>
      <c r="N8" s="24">
        <f t="shared" si="2"/>
        <v>2032</v>
      </c>
      <c r="O8" s="24">
        <f t="shared" si="2"/>
        <v>2033</v>
      </c>
      <c r="P8" s="24">
        <f t="shared" si="2"/>
        <v>2034</v>
      </c>
      <c r="Q8" s="24">
        <f t="shared" si="2"/>
        <v>2035</v>
      </c>
      <c r="R8" s="24">
        <f t="shared" si="2"/>
        <v>2036</v>
      </c>
      <c r="S8" s="24">
        <f t="shared" si="2"/>
        <v>2037</v>
      </c>
      <c r="T8" s="24">
        <f t="shared" si="2"/>
        <v>2038</v>
      </c>
      <c r="U8" s="24">
        <f t="shared" si="2"/>
        <v>2039</v>
      </c>
      <c r="V8" s="24">
        <f t="shared" si="2"/>
        <v>2040</v>
      </c>
      <c r="W8" s="24">
        <f t="shared" si="2"/>
        <v>2041</v>
      </c>
      <c r="X8" s="24">
        <f t="shared" si="2"/>
        <v>2042</v>
      </c>
      <c r="Y8" s="24">
        <f t="shared" si="2"/>
        <v>2043</v>
      </c>
      <c r="Z8" s="24">
        <f t="shared" si="2"/>
        <v>2044</v>
      </c>
      <c r="AA8" s="24">
        <f t="shared" si="2"/>
        <v>2045</v>
      </c>
      <c r="AB8" s="24">
        <f t="shared" si="2"/>
        <v>2046</v>
      </c>
      <c r="AC8" s="24">
        <f t="shared" si="2"/>
        <v>2047</v>
      </c>
      <c r="AD8" s="24">
        <f t="shared" si="2"/>
        <v>2048</v>
      </c>
      <c r="AE8" s="24">
        <f t="shared" si="2"/>
        <v>2049</v>
      </c>
      <c r="AF8" s="24">
        <f t="shared" si="2"/>
        <v>2050</v>
      </c>
      <c r="AG8" s="24">
        <f t="shared" si="2"/>
        <v>2051</v>
      </c>
    </row>
    <row r="9" spans="2:33" x14ac:dyDescent="0.3">
      <c r="B9" s="6" t="s">
        <v>72</v>
      </c>
      <c r="C9" s="17" t="e">
        <f>SUM(D9:AG9)</f>
        <v>#REF!</v>
      </c>
      <c r="D9" s="25" t="e">
        <f>-#REF!*#REF!*#REF!</f>
        <v>#REF!</v>
      </c>
      <c r="E9" s="25" t="e">
        <f>-#REF!*#REF!*#REF!</f>
        <v>#REF!</v>
      </c>
      <c r="F9" s="25" t="e">
        <f>-#REF!*#REF!*#REF!</f>
        <v>#REF!</v>
      </c>
      <c r="G9" s="25" t="e">
        <f>-#REF!*#REF!*#REF!</f>
        <v>#REF!</v>
      </c>
      <c r="H9" s="25" t="e">
        <f>-#REF!*#REF!*#REF!</f>
        <v>#REF!</v>
      </c>
      <c r="I9" s="25" t="e">
        <f>-#REF!*#REF!*#REF!</f>
        <v>#REF!</v>
      </c>
      <c r="J9" s="25" t="e">
        <f>-#REF!*#REF!*#REF!</f>
        <v>#REF!</v>
      </c>
      <c r="K9" s="25" t="e">
        <f>-#REF!*#REF!*#REF!</f>
        <v>#REF!</v>
      </c>
      <c r="L9" s="25" t="e">
        <f>-#REF!*#REF!*#REF!</f>
        <v>#REF!</v>
      </c>
      <c r="M9" s="25" t="e">
        <f>-#REF!*#REF!*#REF!</f>
        <v>#REF!</v>
      </c>
      <c r="N9" s="25" t="e">
        <f>-#REF!*#REF!*#REF!</f>
        <v>#REF!</v>
      </c>
      <c r="O9" s="25" t="e">
        <f>-#REF!*#REF!*#REF!</f>
        <v>#REF!</v>
      </c>
      <c r="P9" s="25" t="e">
        <f>-#REF!*#REF!*#REF!</f>
        <v>#REF!</v>
      </c>
      <c r="Q9" s="25" t="e">
        <f>-#REF!*#REF!*#REF!</f>
        <v>#REF!</v>
      </c>
      <c r="R9" s="25" t="e">
        <f>-#REF!*#REF!*#REF!</f>
        <v>#REF!</v>
      </c>
      <c r="S9" s="25" t="e">
        <f>-#REF!*#REF!*#REF!</f>
        <v>#REF!</v>
      </c>
      <c r="T9" s="25" t="e">
        <f>-#REF!*#REF!*#REF!</f>
        <v>#REF!</v>
      </c>
      <c r="U9" s="25" t="e">
        <f>-#REF!*#REF!*#REF!</f>
        <v>#REF!</v>
      </c>
      <c r="V9" s="25" t="e">
        <f>-#REF!*#REF!*#REF!</f>
        <v>#REF!</v>
      </c>
      <c r="W9" s="25" t="e">
        <f>-#REF!*#REF!*#REF!</f>
        <v>#REF!</v>
      </c>
      <c r="X9" s="25" t="e">
        <f>-#REF!*#REF!*#REF!</f>
        <v>#REF!</v>
      </c>
      <c r="Y9" s="25" t="e">
        <f>-#REF!*#REF!*#REF!</f>
        <v>#REF!</v>
      </c>
      <c r="Z9" s="25" t="e">
        <f>-#REF!*#REF!*#REF!</f>
        <v>#REF!</v>
      </c>
      <c r="AA9" s="25" t="e">
        <f>-#REF!*#REF!*#REF!</f>
        <v>#REF!</v>
      </c>
      <c r="AB9" s="25" t="e">
        <f>-#REF!*#REF!*#REF!</f>
        <v>#REF!</v>
      </c>
      <c r="AC9" s="25" t="e">
        <f>-#REF!*#REF!*#REF!</f>
        <v>#REF!</v>
      </c>
      <c r="AD9" s="25" t="e">
        <f>-#REF!*#REF!*#REF!</f>
        <v>#REF!</v>
      </c>
      <c r="AE9" s="25" t="e">
        <f>-#REF!*#REF!*#REF!</f>
        <v>#REF!</v>
      </c>
      <c r="AF9" s="25" t="e">
        <f>-#REF!*#REF!*#REF!</f>
        <v>#REF!</v>
      </c>
      <c r="AG9" s="25" t="e">
        <f>-#REF!*#REF!*#REF!</f>
        <v>#REF!</v>
      </c>
    </row>
    <row r="10" spans="2:33" x14ac:dyDescent="0.3">
      <c r="B10" s="9" t="s">
        <v>73</v>
      </c>
      <c r="C10" s="20" t="e">
        <f>SUM(D10:AG10)</f>
        <v>#REF!</v>
      </c>
      <c r="D10" s="20" t="e">
        <f t="shared" ref="D10:AG10" si="3">SUM(D9:D9)</f>
        <v>#REF!</v>
      </c>
      <c r="E10" s="20" t="e">
        <f t="shared" si="3"/>
        <v>#REF!</v>
      </c>
      <c r="F10" s="20" t="e">
        <f t="shared" si="3"/>
        <v>#REF!</v>
      </c>
      <c r="G10" s="20" t="e">
        <f t="shared" si="3"/>
        <v>#REF!</v>
      </c>
      <c r="H10" s="20" t="e">
        <f t="shared" si="3"/>
        <v>#REF!</v>
      </c>
      <c r="I10" s="20" t="e">
        <f t="shared" si="3"/>
        <v>#REF!</v>
      </c>
      <c r="J10" s="20" t="e">
        <f t="shared" si="3"/>
        <v>#REF!</v>
      </c>
      <c r="K10" s="20" t="e">
        <f t="shared" si="3"/>
        <v>#REF!</v>
      </c>
      <c r="L10" s="20" t="e">
        <f t="shared" si="3"/>
        <v>#REF!</v>
      </c>
      <c r="M10" s="20" t="e">
        <f t="shared" si="3"/>
        <v>#REF!</v>
      </c>
      <c r="N10" s="20" t="e">
        <f t="shared" si="3"/>
        <v>#REF!</v>
      </c>
      <c r="O10" s="20" t="e">
        <f t="shared" si="3"/>
        <v>#REF!</v>
      </c>
      <c r="P10" s="20" t="e">
        <f t="shared" si="3"/>
        <v>#REF!</v>
      </c>
      <c r="Q10" s="20" t="e">
        <f t="shared" si="3"/>
        <v>#REF!</v>
      </c>
      <c r="R10" s="20" t="e">
        <f t="shared" si="3"/>
        <v>#REF!</v>
      </c>
      <c r="S10" s="20" t="e">
        <f t="shared" si="3"/>
        <v>#REF!</v>
      </c>
      <c r="T10" s="20" t="e">
        <f t="shared" si="3"/>
        <v>#REF!</v>
      </c>
      <c r="U10" s="20" t="e">
        <f t="shared" si="3"/>
        <v>#REF!</v>
      </c>
      <c r="V10" s="20" t="e">
        <f t="shared" si="3"/>
        <v>#REF!</v>
      </c>
      <c r="W10" s="20" t="e">
        <f t="shared" si="3"/>
        <v>#REF!</v>
      </c>
      <c r="X10" s="20" t="e">
        <f t="shared" si="3"/>
        <v>#REF!</v>
      </c>
      <c r="Y10" s="20" t="e">
        <f t="shared" si="3"/>
        <v>#REF!</v>
      </c>
      <c r="Z10" s="20" t="e">
        <f t="shared" si="3"/>
        <v>#REF!</v>
      </c>
      <c r="AA10" s="20" t="e">
        <f t="shared" si="3"/>
        <v>#REF!</v>
      </c>
      <c r="AB10" s="20" t="e">
        <f t="shared" si="3"/>
        <v>#REF!</v>
      </c>
      <c r="AC10" s="20" t="e">
        <f t="shared" si="3"/>
        <v>#REF!</v>
      </c>
      <c r="AD10" s="20" t="e">
        <f t="shared" si="3"/>
        <v>#REF!</v>
      </c>
      <c r="AE10" s="20" t="e">
        <f t="shared" si="3"/>
        <v>#REF!</v>
      </c>
      <c r="AF10" s="20" t="e">
        <f t="shared" si="3"/>
        <v>#REF!</v>
      </c>
      <c r="AG10" s="20" t="e">
        <f t="shared" si="3"/>
        <v>#REF!</v>
      </c>
    </row>
    <row r="11" spans="2:33" x14ac:dyDescent="0.3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2:33" x14ac:dyDescent="0.3">
      <c r="B12" s="9" t="s">
        <v>51</v>
      </c>
      <c r="C12" s="9"/>
      <c r="D12" s="27">
        <v>1</v>
      </c>
      <c r="E12" s="27">
        <v>2</v>
      </c>
      <c r="F12" s="27">
        <v>3</v>
      </c>
      <c r="G12" s="27">
        <v>4</v>
      </c>
      <c r="H12" s="27">
        <v>5</v>
      </c>
      <c r="I12" s="27">
        <v>6</v>
      </c>
      <c r="J12" s="27">
        <v>7</v>
      </c>
      <c r="K12" s="27">
        <v>8</v>
      </c>
      <c r="L12" s="27">
        <v>9</v>
      </c>
      <c r="M12" s="27">
        <v>10</v>
      </c>
      <c r="N12" s="27">
        <v>11</v>
      </c>
      <c r="O12" s="27">
        <v>12</v>
      </c>
      <c r="P12" s="27">
        <v>13</v>
      </c>
      <c r="Q12" s="27">
        <v>14</v>
      </c>
      <c r="R12" s="27">
        <v>15</v>
      </c>
      <c r="S12" s="27">
        <v>16</v>
      </c>
      <c r="T12" s="27">
        <v>17</v>
      </c>
      <c r="U12" s="27">
        <v>18</v>
      </c>
      <c r="V12" s="27">
        <v>19</v>
      </c>
      <c r="W12" s="27">
        <v>20</v>
      </c>
      <c r="X12" s="27">
        <v>21</v>
      </c>
      <c r="Y12" s="27">
        <v>22</v>
      </c>
      <c r="Z12" s="27">
        <v>23</v>
      </c>
      <c r="AA12" s="27">
        <v>24</v>
      </c>
      <c r="AB12" s="27">
        <v>25</v>
      </c>
      <c r="AC12" s="27">
        <v>26</v>
      </c>
      <c r="AD12" s="27">
        <v>27</v>
      </c>
      <c r="AE12" s="27">
        <v>28</v>
      </c>
      <c r="AF12" s="27">
        <v>29</v>
      </c>
      <c r="AG12" s="27">
        <v>30</v>
      </c>
    </row>
    <row r="13" spans="2:33" x14ac:dyDescent="0.3">
      <c r="B13" s="23" t="s">
        <v>59</v>
      </c>
      <c r="C13" s="23" t="s">
        <v>33</v>
      </c>
      <c r="D13" s="24">
        <f>D8</f>
        <v>2022</v>
      </c>
      <c r="E13" s="24">
        <f>$D$3+D12</f>
        <v>2023</v>
      </c>
      <c r="F13" s="24">
        <f>$D$3+E12</f>
        <v>2024</v>
      </c>
      <c r="G13" s="24">
        <f>$D$3+F12</f>
        <v>2025</v>
      </c>
      <c r="H13" s="24">
        <f t="shared" ref="H13:AG13" si="4">$D$3+G12</f>
        <v>2026</v>
      </c>
      <c r="I13" s="24">
        <f t="shared" si="4"/>
        <v>2027</v>
      </c>
      <c r="J13" s="24">
        <f t="shared" si="4"/>
        <v>2028</v>
      </c>
      <c r="K13" s="24">
        <f t="shared" si="4"/>
        <v>2029</v>
      </c>
      <c r="L13" s="24">
        <f t="shared" si="4"/>
        <v>2030</v>
      </c>
      <c r="M13" s="24">
        <f t="shared" si="4"/>
        <v>2031</v>
      </c>
      <c r="N13" s="24">
        <f t="shared" si="4"/>
        <v>2032</v>
      </c>
      <c r="O13" s="24">
        <f t="shared" si="4"/>
        <v>2033</v>
      </c>
      <c r="P13" s="24">
        <f t="shared" si="4"/>
        <v>2034</v>
      </c>
      <c r="Q13" s="24">
        <f t="shared" si="4"/>
        <v>2035</v>
      </c>
      <c r="R13" s="24">
        <f t="shared" si="4"/>
        <v>2036</v>
      </c>
      <c r="S13" s="24">
        <f t="shared" si="4"/>
        <v>2037</v>
      </c>
      <c r="T13" s="24">
        <f t="shared" si="4"/>
        <v>2038</v>
      </c>
      <c r="U13" s="24">
        <f t="shared" si="4"/>
        <v>2039</v>
      </c>
      <c r="V13" s="24">
        <f t="shared" si="4"/>
        <v>2040</v>
      </c>
      <c r="W13" s="24">
        <f t="shared" si="4"/>
        <v>2041</v>
      </c>
      <c r="X13" s="24">
        <f t="shared" si="4"/>
        <v>2042</v>
      </c>
      <c r="Y13" s="24">
        <f t="shared" si="4"/>
        <v>2043</v>
      </c>
      <c r="Z13" s="24">
        <f t="shared" si="4"/>
        <v>2044</v>
      </c>
      <c r="AA13" s="24">
        <f t="shared" si="4"/>
        <v>2045</v>
      </c>
      <c r="AB13" s="24">
        <f t="shared" si="4"/>
        <v>2046</v>
      </c>
      <c r="AC13" s="24">
        <f t="shared" si="4"/>
        <v>2047</v>
      </c>
      <c r="AD13" s="24">
        <f t="shared" si="4"/>
        <v>2048</v>
      </c>
      <c r="AE13" s="24">
        <f t="shared" si="4"/>
        <v>2049</v>
      </c>
      <c r="AF13" s="24">
        <f t="shared" si="4"/>
        <v>2050</v>
      </c>
      <c r="AG13" s="24">
        <f t="shared" si="4"/>
        <v>2051</v>
      </c>
    </row>
    <row r="14" spans="2:33" x14ac:dyDescent="0.3">
      <c r="B14" s="6" t="s">
        <v>72</v>
      </c>
      <c r="C14" s="17" t="e">
        <f>SUM(D14:AG14)</f>
        <v>#REF!</v>
      </c>
      <c r="D14" s="25" t="e">
        <f>-#REF!*#REF!*#REF!</f>
        <v>#REF!</v>
      </c>
      <c r="E14" s="25" t="e">
        <f>-#REF!*#REF!*#REF!</f>
        <v>#REF!</v>
      </c>
      <c r="F14" s="25" t="e">
        <f>-#REF!*#REF!*#REF!</f>
        <v>#REF!</v>
      </c>
      <c r="G14" s="25" t="e">
        <f>-#REF!*#REF!*#REF!</f>
        <v>#REF!</v>
      </c>
      <c r="H14" s="25" t="e">
        <f>-#REF!*#REF!*#REF!</f>
        <v>#REF!</v>
      </c>
      <c r="I14" s="25" t="e">
        <f>-#REF!*#REF!*#REF!</f>
        <v>#REF!</v>
      </c>
      <c r="J14" s="25" t="e">
        <f>-#REF!*#REF!*#REF!</f>
        <v>#REF!</v>
      </c>
      <c r="K14" s="25" t="e">
        <f>-#REF!*#REF!*#REF!</f>
        <v>#REF!</v>
      </c>
      <c r="L14" s="25" t="e">
        <f>-#REF!*#REF!*#REF!</f>
        <v>#REF!</v>
      </c>
      <c r="M14" s="25" t="e">
        <f>-#REF!*#REF!*#REF!</f>
        <v>#REF!</v>
      </c>
      <c r="N14" s="25" t="e">
        <f>-#REF!*#REF!*#REF!</f>
        <v>#REF!</v>
      </c>
      <c r="O14" s="25" t="e">
        <f>-#REF!*#REF!*#REF!</f>
        <v>#REF!</v>
      </c>
      <c r="P14" s="25" t="e">
        <f>-#REF!*#REF!*#REF!</f>
        <v>#REF!</v>
      </c>
      <c r="Q14" s="25" t="e">
        <f>-#REF!*#REF!*#REF!</f>
        <v>#REF!</v>
      </c>
      <c r="R14" s="25" t="e">
        <f>-#REF!*#REF!*#REF!</f>
        <v>#REF!</v>
      </c>
      <c r="S14" s="25" t="e">
        <f>-#REF!*#REF!*#REF!</f>
        <v>#REF!</v>
      </c>
      <c r="T14" s="25" t="e">
        <f>-#REF!*#REF!*#REF!</f>
        <v>#REF!</v>
      </c>
      <c r="U14" s="25" t="e">
        <f>-#REF!*#REF!*#REF!</f>
        <v>#REF!</v>
      </c>
      <c r="V14" s="25" t="e">
        <f>-#REF!*#REF!*#REF!</f>
        <v>#REF!</v>
      </c>
      <c r="W14" s="25" t="e">
        <f>-#REF!*#REF!*#REF!</f>
        <v>#REF!</v>
      </c>
      <c r="X14" s="25" t="e">
        <f>-#REF!*#REF!*#REF!</f>
        <v>#REF!</v>
      </c>
      <c r="Y14" s="25" t="e">
        <f>-#REF!*#REF!*#REF!</f>
        <v>#REF!</v>
      </c>
      <c r="Z14" s="25" t="e">
        <f>-#REF!*#REF!*#REF!</f>
        <v>#REF!</v>
      </c>
      <c r="AA14" s="25" t="e">
        <f>-#REF!*#REF!*#REF!</f>
        <v>#REF!</v>
      </c>
      <c r="AB14" s="25" t="e">
        <f>-#REF!*#REF!*#REF!</f>
        <v>#REF!</v>
      </c>
      <c r="AC14" s="25" t="e">
        <f>-#REF!*#REF!*#REF!</f>
        <v>#REF!</v>
      </c>
      <c r="AD14" s="25" t="e">
        <f>-#REF!*#REF!*#REF!</f>
        <v>#REF!</v>
      </c>
      <c r="AE14" s="25" t="e">
        <f>-#REF!*#REF!*#REF!</f>
        <v>#REF!</v>
      </c>
      <c r="AF14" s="25" t="e">
        <f>-#REF!*#REF!*#REF!</f>
        <v>#REF!</v>
      </c>
      <c r="AG14" s="25" t="e">
        <f>-#REF!*#REF!*#REF!</f>
        <v>#REF!</v>
      </c>
    </row>
    <row r="15" spans="2:33" x14ac:dyDescent="0.3">
      <c r="B15" s="9" t="s">
        <v>73</v>
      </c>
      <c r="C15" s="20" t="e">
        <f>SUM(D15:AG15)</f>
        <v>#REF!</v>
      </c>
      <c r="D15" s="20" t="e">
        <f t="shared" ref="D15:AG15" si="5">SUM(D14:D14)</f>
        <v>#REF!</v>
      </c>
      <c r="E15" s="20" t="e">
        <f t="shared" si="5"/>
        <v>#REF!</v>
      </c>
      <c r="F15" s="20" t="e">
        <f t="shared" si="5"/>
        <v>#REF!</v>
      </c>
      <c r="G15" s="20" t="e">
        <f t="shared" si="5"/>
        <v>#REF!</v>
      </c>
      <c r="H15" s="20" t="e">
        <f t="shared" si="5"/>
        <v>#REF!</v>
      </c>
      <c r="I15" s="20" t="e">
        <f t="shared" si="5"/>
        <v>#REF!</v>
      </c>
      <c r="J15" s="20" t="e">
        <f t="shared" si="5"/>
        <v>#REF!</v>
      </c>
      <c r="K15" s="20" t="e">
        <f t="shared" si="5"/>
        <v>#REF!</v>
      </c>
      <c r="L15" s="20" t="e">
        <f t="shared" si="5"/>
        <v>#REF!</v>
      </c>
      <c r="M15" s="20" t="e">
        <f t="shared" si="5"/>
        <v>#REF!</v>
      </c>
      <c r="N15" s="20" t="e">
        <f t="shared" si="5"/>
        <v>#REF!</v>
      </c>
      <c r="O15" s="20" t="e">
        <f t="shared" si="5"/>
        <v>#REF!</v>
      </c>
      <c r="P15" s="20" t="e">
        <f t="shared" si="5"/>
        <v>#REF!</v>
      </c>
      <c r="Q15" s="20" t="e">
        <f t="shared" si="5"/>
        <v>#REF!</v>
      </c>
      <c r="R15" s="20" t="e">
        <f t="shared" si="5"/>
        <v>#REF!</v>
      </c>
      <c r="S15" s="20" t="e">
        <f t="shared" si="5"/>
        <v>#REF!</v>
      </c>
      <c r="T15" s="20" t="e">
        <f t="shared" si="5"/>
        <v>#REF!</v>
      </c>
      <c r="U15" s="20" t="e">
        <f t="shared" si="5"/>
        <v>#REF!</v>
      </c>
      <c r="V15" s="20" t="e">
        <f t="shared" si="5"/>
        <v>#REF!</v>
      </c>
      <c r="W15" s="20" t="e">
        <f t="shared" si="5"/>
        <v>#REF!</v>
      </c>
      <c r="X15" s="20" t="e">
        <f t="shared" si="5"/>
        <v>#REF!</v>
      </c>
      <c r="Y15" s="20" t="e">
        <f t="shared" si="5"/>
        <v>#REF!</v>
      </c>
      <c r="Z15" s="20" t="e">
        <f t="shared" si="5"/>
        <v>#REF!</v>
      </c>
      <c r="AA15" s="20" t="e">
        <f t="shared" si="5"/>
        <v>#REF!</v>
      </c>
      <c r="AB15" s="20" t="e">
        <f t="shared" si="5"/>
        <v>#REF!</v>
      </c>
      <c r="AC15" s="20" t="e">
        <f t="shared" si="5"/>
        <v>#REF!</v>
      </c>
      <c r="AD15" s="20" t="e">
        <f t="shared" si="5"/>
        <v>#REF!</v>
      </c>
      <c r="AE15" s="20" t="e">
        <f t="shared" si="5"/>
        <v>#REF!</v>
      </c>
      <c r="AF15" s="20" t="e">
        <f t="shared" si="5"/>
        <v>#REF!</v>
      </c>
      <c r="AG15" s="20" t="e">
        <f t="shared" si="5"/>
        <v>#REF!</v>
      </c>
    </row>
    <row r="20" spans="9:9" x14ac:dyDescent="0.3">
      <c r="I20" s="29"/>
    </row>
    <row r="22" spans="9:9" x14ac:dyDescent="0.3">
      <c r="I22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</sheetPr>
  <dimension ref="A1:AG44"/>
  <sheetViews>
    <sheetView workbookViewId="0"/>
  </sheetViews>
  <sheetFormatPr defaultColWidth="8.6640625" defaultRowHeight="13.8" x14ac:dyDescent="0.3"/>
  <cols>
    <col min="1" max="1" width="2.6640625" style="6" customWidth="1"/>
    <col min="2" max="2" width="33.6640625" style="6" bestFit="1" customWidth="1"/>
    <col min="3" max="3" width="11.44140625" style="6" bestFit="1" customWidth="1"/>
    <col min="4" max="7" width="8.6640625" style="6" bestFit="1" customWidth="1"/>
    <col min="8" max="9" width="9.6640625" style="6" bestFit="1" customWidth="1"/>
    <col min="10" max="32" width="8.6640625" style="6" bestFit="1" customWidth="1"/>
    <col min="33" max="33" width="9" style="6" bestFit="1" customWidth="1"/>
    <col min="34" max="16384" width="8.6640625" style="6"/>
  </cols>
  <sheetData>
    <row r="1" spans="1:33" x14ac:dyDescent="0.3">
      <c r="C1" s="9" t="s">
        <v>74</v>
      </c>
    </row>
    <row r="2" spans="1:33" x14ac:dyDescent="0.3">
      <c r="A2" s="30"/>
      <c r="B2" s="6" t="s">
        <v>46</v>
      </c>
      <c r="C2" s="31" t="e">
        <f>C15</f>
        <v>#REF!</v>
      </c>
    </row>
    <row r="3" spans="1:33" x14ac:dyDescent="0.3">
      <c r="B3" s="6" t="s">
        <v>50</v>
      </c>
      <c r="C3" s="31" t="e">
        <f>C26</f>
        <v>#REF!</v>
      </c>
    </row>
    <row r="4" spans="1:33" x14ac:dyDescent="0.3">
      <c r="B4" s="6" t="s">
        <v>51</v>
      </c>
      <c r="C4" s="31" t="e">
        <f>C37</f>
        <v>#REF!</v>
      </c>
    </row>
    <row r="6" spans="1:33" x14ac:dyDescent="0.3">
      <c r="B6" s="9" t="s">
        <v>46</v>
      </c>
      <c r="C6" s="9"/>
      <c r="D6" s="6" t="s">
        <v>52</v>
      </c>
    </row>
    <row r="7" spans="1:33" x14ac:dyDescent="0.3">
      <c r="B7" s="9"/>
      <c r="C7" s="18" t="s">
        <v>33</v>
      </c>
      <c r="D7" s="27">
        <v>1</v>
      </c>
      <c r="E7" s="27">
        <v>2</v>
      </c>
      <c r="F7" s="27">
        <v>3</v>
      </c>
      <c r="G7" s="27">
        <v>4</v>
      </c>
      <c r="H7" s="27">
        <v>5</v>
      </c>
      <c r="I7" s="27">
        <v>6</v>
      </c>
      <c r="J7" s="27">
        <v>7</v>
      </c>
      <c r="K7" s="27">
        <v>8</v>
      </c>
      <c r="L7" s="27">
        <v>9</v>
      </c>
      <c r="M7" s="27">
        <v>10</v>
      </c>
      <c r="N7" s="27">
        <v>11</v>
      </c>
      <c r="O7" s="27">
        <v>12</v>
      </c>
      <c r="P7" s="27">
        <v>13</v>
      </c>
      <c r="Q7" s="27">
        <v>14</v>
      </c>
      <c r="R7" s="27">
        <v>15</v>
      </c>
      <c r="S7" s="27">
        <v>16</v>
      </c>
      <c r="T7" s="27">
        <v>17</v>
      </c>
      <c r="U7" s="27">
        <v>18</v>
      </c>
      <c r="V7" s="27">
        <v>19</v>
      </c>
      <c r="W7" s="27">
        <v>20</v>
      </c>
      <c r="X7" s="27">
        <v>21</v>
      </c>
      <c r="Y7" s="27">
        <v>22</v>
      </c>
      <c r="Z7" s="27">
        <v>23</v>
      </c>
      <c r="AA7" s="27">
        <v>24</v>
      </c>
      <c r="AB7" s="27">
        <v>25</v>
      </c>
      <c r="AC7" s="27">
        <v>26</v>
      </c>
      <c r="AD7" s="27">
        <v>27</v>
      </c>
      <c r="AE7" s="27">
        <v>28</v>
      </c>
      <c r="AF7" s="27">
        <v>29</v>
      </c>
      <c r="AG7" s="27">
        <v>30</v>
      </c>
    </row>
    <row r="8" spans="1:33" x14ac:dyDescent="0.3">
      <c r="B8" s="23" t="s">
        <v>64</v>
      </c>
      <c r="C8" s="32" t="s">
        <v>65</v>
      </c>
      <c r="D8" s="24">
        <v>2022</v>
      </c>
      <c r="E8" s="24">
        <f>$D$19+D7</f>
        <v>2023</v>
      </c>
      <c r="F8" s="24">
        <f>$D$19+E7</f>
        <v>2024</v>
      </c>
      <c r="G8" s="24">
        <f t="shared" ref="G8:AG8" si="0">$D$19+F7</f>
        <v>2025</v>
      </c>
      <c r="H8" s="24">
        <f t="shared" si="0"/>
        <v>2026</v>
      </c>
      <c r="I8" s="24">
        <f t="shared" si="0"/>
        <v>2027</v>
      </c>
      <c r="J8" s="24">
        <f t="shared" si="0"/>
        <v>2028</v>
      </c>
      <c r="K8" s="24">
        <f t="shared" si="0"/>
        <v>2029</v>
      </c>
      <c r="L8" s="24">
        <f t="shared" si="0"/>
        <v>2030</v>
      </c>
      <c r="M8" s="24">
        <f t="shared" si="0"/>
        <v>2031</v>
      </c>
      <c r="N8" s="24">
        <f t="shared" si="0"/>
        <v>2032</v>
      </c>
      <c r="O8" s="24">
        <f t="shared" si="0"/>
        <v>2033</v>
      </c>
      <c r="P8" s="24">
        <f t="shared" si="0"/>
        <v>2034</v>
      </c>
      <c r="Q8" s="24">
        <f t="shared" si="0"/>
        <v>2035</v>
      </c>
      <c r="R8" s="24">
        <f t="shared" si="0"/>
        <v>2036</v>
      </c>
      <c r="S8" s="24">
        <f t="shared" si="0"/>
        <v>2037</v>
      </c>
      <c r="T8" s="24">
        <f t="shared" si="0"/>
        <v>2038</v>
      </c>
      <c r="U8" s="24">
        <f t="shared" si="0"/>
        <v>2039</v>
      </c>
      <c r="V8" s="24">
        <f t="shared" si="0"/>
        <v>2040</v>
      </c>
      <c r="W8" s="24">
        <f t="shared" si="0"/>
        <v>2041</v>
      </c>
      <c r="X8" s="24">
        <f t="shared" si="0"/>
        <v>2042</v>
      </c>
      <c r="Y8" s="24">
        <f t="shared" si="0"/>
        <v>2043</v>
      </c>
      <c r="Z8" s="24">
        <f t="shared" si="0"/>
        <v>2044</v>
      </c>
      <c r="AA8" s="24">
        <f t="shared" si="0"/>
        <v>2045</v>
      </c>
      <c r="AB8" s="24">
        <f t="shared" si="0"/>
        <v>2046</v>
      </c>
      <c r="AC8" s="24">
        <f t="shared" si="0"/>
        <v>2047</v>
      </c>
      <c r="AD8" s="24">
        <f t="shared" si="0"/>
        <v>2048</v>
      </c>
      <c r="AE8" s="24">
        <f t="shared" si="0"/>
        <v>2049</v>
      </c>
      <c r="AF8" s="24">
        <f t="shared" si="0"/>
        <v>2050</v>
      </c>
      <c r="AG8" s="24">
        <f t="shared" si="0"/>
        <v>2051</v>
      </c>
    </row>
    <row r="9" spans="1:33" x14ac:dyDescent="0.3">
      <c r="B9" s="6" t="s">
        <v>66</v>
      </c>
      <c r="C9" s="33" t="e">
        <f>D9+NPV(#REF!,E9:AG9)</f>
        <v>#REF!</v>
      </c>
      <c r="D9" s="17" t="e">
        <f>-'01 Investičné výdavky'!E7*#REF!</f>
        <v>#REF!</v>
      </c>
      <c r="E9" s="17" t="e">
        <f>-'01 Investičné výdavky'!F7*#REF!</f>
        <v>#REF!</v>
      </c>
      <c r="F9" s="17" t="e">
        <f>-'01 Investičné výdavky'!G7*#REF!</f>
        <v>#REF!</v>
      </c>
      <c r="G9" s="17" t="e">
        <f>-'01 Investičné výdavky'!H7*#REF!</f>
        <v>#REF!</v>
      </c>
      <c r="H9" s="17" t="e">
        <f>-'01 Investičné výdavky'!I7*#REF!</f>
        <v>#REF!</v>
      </c>
      <c r="I9" s="17" t="e">
        <f>-'01 Investičné výdavky'!J7*#REF!</f>
        <v>#REF!</v>
      </c>
      <c r="J9" s="17" t="e">
        <f>-'01 Investičné výdavky'!K7*#REF!</f>
        <v>#REF!</v>
      </c>
      <c r="K9" s="17" t="e">
        <f>-'01 Investičné výdavky'!L7*#REF!</f>
        <v>#REF!</v>
      </c>
      <c r="L9" s="17" t="e">
        <f>-'01 Investičné výdavky'!M7*#REF!</f>
        <v>#REF!</v>
      </c>
      <c r="M9" s="17" t="e">
        <f>-'01 Investičné výdavky'!N7*#REF!</f>
        <v>#REF!</v>
      </c>
      <c r="N9" s="17" t="e">
        <f>-'01 Investičné výdavky'!O7*#REF!</f>
        <v>#REF!</v>
      </c>
      <c r="O9" s="17" t="e">
        <f>-'01 Investičné výdavky'!P7*#REF!</f>
        <v>#REF!</v>
      </c>
      <c r="P9" s="17" t="e">
        <f>-'01 Investičné výdavky'!Q7*#REF!</f>
        <v>#REF!</v>
      </c>
      <c r="Q9" s="17" t="e">
        <f>-'01 Investičné výdavky'!R7*#REF!</f>
        <v>#REF!</v>
      </c>
      <c r="R9" s="17" t="e">
        <f>-'01 Investičné výdavky'!S7*#REF!</f>
        <v>#REF!</v>
      </c>
      <c r="S9" s="17" t="e">
        <f>-'01 Investičné výdavky'!T7*#REF!</f>
        <v>#REF!</v>
      </c>
      <c r="T9" s="17" t="e">
        <f>-'01 Investičné výdavky'!U7*#REF!</f>
        <v>#REF!</v>
      </c>
      <c r="U9" s="17" t="e">
        <f>-'01 Investičné výdavky'!V7*#REF!</f>
        <v>#REF!</v>
      </c>
      <c r="V9" s="17" t="e">
        <f>-'01 Investičné výdavky'!W7*#REF!</f>
        <v>#REF!</v>
      </c>
      <c r="W9" s="17" t="e">
        <f>-'01 Investičné výdavky'!X7*#REF!</f>
        <v>#REF!</v>
      </c>
      <c r="X9" s="17" t="e">
        <f>-'01 Investičné výdavky'!Y7*#REF!</f>
        <v>#REF!</v>
      </c>
      <c r="Y9" s="17" t="e">
        <f>-'01 Investičné výdavky'!Z7*#REF!</f>
        <v>#REF!</v>
      </c>
      <c r="Z9" s="17" t="e">
        <f>-'01 Investičné výdavky'!AA7*#REF!</f>
        <v>#REF!</v>
      </c>
      <c r="AA9" s="17" t="e">
        <f>-'01 Investičné výdavky'!AB7*#REF!</f>
        <v>#REF!</v>
      </c>
      <c r="AB9" s="17" t="e">
        <f>-'01 Investičné výdavky'!AC7*#REF!</f>
        <v>#REF!</v>
      </c>
      <c r="AC9" s="17" t="e">
        <f>-'01 Investičné výdavky'!AD7*#REF!</f>
        <v>#REF!</v>
      </c>
      <c r="AD9" s="17" t="e">
        <f>-'01 Investičné výdavky'!AE7*#REF!</f>
        <v>#REF!</v>
      </c>
      <c r="AE9" s="17" t="e">
        <f>-'01 Investičné výdavky'!AF7*#REF!</f>
        <v>#REF!</v>
      </c>
      <c r="AF9" s="17" t="e">
        <f>-'01 Investičné výdavky'!AG7*#REF!</f>
        <v>#REF!</v>
      </c>
      <c r="AG9" s="17" t="e">
        <f>-'01 Investičné výdavky'!AH7*#REF!</f>
        <v>#REF!</v>
      </c>
    </row>
    <row r="10" spans="1:33" x14ac:dyDescent="0.3">
      <c r="B10" s="6" t="s">
        <v>67</v>
      </c>
      <c r="C10" s="33" t="e">
        <f>D10+NPV(#REF!,E10:AG10)</f>
        <v>#REF!</v>
      </c>
      <c r="D10" s="17" t="e">
        <f>#REF!*#REF!+'Vstupy emisie'!D4</f>
        <v>#REF!</v>
      </c>
      <c r="E10" s="17" t="e">
        <f>#REF!*#REF!+'Vstupy emisie'!E4</f>
        <v>#REF!</v>
      </c>
      <c r="F10" s="17" t="e">
        <f>#REF!*#REF!+'Vstupy emisie'!F4</f>
        <v>#REF!</v>
      </c>
      <c r="G10" s="17" t="e">
        <f>#REF!*#REF!+'Vstupy emisie'!G4</f>
        <v>#REF!</v>
      </c>
      <c r="H10" s="17" t="e">
        <f>#REF!*#REF!+'Vstupy emisie'!H4</f>
        <v>#REF!</v>
      </c>
      <c r="I10" s="17" t="e">
        <f>#REF!*#REF!+'Vstupy emisie'!I4</f>
        <v>#REF!</v>
      </c>
      <c r="J10" s="17" t="e">
        <f>#REF!*#REF!+'Vstupy emisie'!J4</f>
        <v>#REF!</v>
      </c>
      <c r="K10" s="17" t="e">
        <f>#REF!*#REF!+'Vstupy emisie'!K4</f>
        <v>#REF!</v>
      </c>
      <c r="L10" s="17" t="e">
        <f>#REF!*#REF!+'Vstupy emisie'!L4</f>
        <v>#REF!</v>
      </c>
      <c r="M10" s="17" t="e">
        <f>#REF!*#REF!+'Vstupy emisie'!M4</f>
        <v>#REF!</v>
      </c>
      <c r="N10" s="17" t="e">
        <f>#REF!*#REF!+'Vstupy emisie'!N4</f>
        <v>#REF!</v>
      </c>
      <c r="O10" s="17" t="e">
        <f>#REF!*#REF!+'Vstupy emisie'!O4</f>
        <v>#REF!</v>
      </c>
      <c r="P10" s="17" t="e">
        <f>#REF!*#REF!+'Vstupy emisie'!P4</f>
        <v>#REF!</v>
      </c>
      <c r="Q10" s="17" t="e">
        <f>#REF!*#REF!+'Vstupy emisie'!Q4</f>
        <v>#REF!</v>
      </c>
      <c r="R10" s="17" t="e">
        <f>#REF!*#REF!+'Vstupy emisie'!R4</f>
        <v>#REF!</v>
      </c>
      <c r="S10" s="17" t="e">
        <f>#REF!*#REF!+'Vstupy emisie'!S4</f>
        <v>#REF!</v>
      </c>
      <c r="T10" s="17" t="e">
        <f>#REF!*#REF!+'Vstupy emisie'!T4</f>
        <v>#REF!</v>
      </c>
      <c r="U10" s="17" t="e">
        <f>#REF!*#REF!+'Vstupy emisie'!U4</f>
        <v>#REF!</v>
      </c>
      <c r="V10" s="17" t="e">
        <f>#REF!*#REF!+'Vstupy emisie'!V4</f>
        <v>#REF!</v>
      </c>
      <c r="W10" s="17" t="e">
        <f>#REF!*#REF!+'Vstupy emisie'!W4</f>
        <v>#REF!</v>
      </c>
      <c r="X10" s="17" t="e">
        <f>#REF!*#REF!+'Vstupy emisie'!X4</f>
        <v>#REF!</v>
      </c>
      <c r="Y10" s="17" t="e">
        <f>#REF!*#REF!+'Vstupy emisie'!Y4</f>
        <v>#REF!</v>
      </c>
      <c r="Z10" s="17" t="e">
        <f>#REF!*#REF!+'Vstupy emisie'!Z4</f>
        <v>#REF!</v>
      </c>
      <c r="AA10" s="17" t="e">
        <f>#REF!*#REF!+'Vstupy emisie'!AA4</f>
        <v>#REF!</v>
      </c>
      <c r="AB10" s="17" t="e">
        <f>#REF!*#REF!+'Vstupy emisie'!AB4</f>
        <v>#REF!</v>
      </c>
      <c r="AC10" s="17" t="e">
        <f>#REF!*#REF!+'Vstupy emisie'!AC4</f>
        <v>#REF!</v>
      </c>
      <c r="AD10" s="17" t="e">
        <f>#REF!*#REF!+'Vstupy emisie'!AD4</f>
        <v>#REF!</v>
      </c>
      <c r="AE10" s="17" t="e">
        <f>#REF!*#REF!+'Vstupy emisie'!AE4</f>
        <v>#REF!</v>
      </c>
      <c r="AF10" s="17" t="e">
        <f>#REF!*#REF!+'Vstupy emisie'!AF4</f>
        <v>#REF!</v>
      </c>
      <c r="AG10" s="17" t="e">
        <f>#REF!*#REF!+'Vstupy emisie'!AG4</f>
        <v>#REF!</v>
      </c>
    </row>
    <row r="11" spans="1:33" x14ac:dyDescent="0.3">
      <c r="B11" s="6" t="s">
        <v>68</v>
      </c>
      <c r="C11" s="33" t="e">
        <f>D11+NPV(#REF!,E11:AG11)</f>
        <v>#REF!</v>
      </c>
      <c r="D11" s="17" t="e">
        <f>'04 Prevádzkové príjmy'!D11</f>
        <v>#REF!</v>
      </c>
      <c r="E11" s="17" t="e">
        <f>'04 Prevádzkové príjmy'!E11</f>
        <v>#REF!</v>
      </c>
      <c r="F11" s="17" t="e">
        <f>'04 Prevádzkové príjmy'!F11</f>
        <v>#REF!</v>
      </c>
      <c r="G11" s="17" t="e">
        <f>'04 Prevádzkové príjmy'!G11</f>
        <v>#REF!</v>
      </c>
      <c r="H11" s="17" t="e">
        <f>'04 Prevádzkové príjmy'!H11</f>
        <v>#REF!</v>
      </c>
      <c r="I11" s="17" t="e">
        <f>'04 Prevádzkové príjmy'!I11</f>
        <v>#REF!</v>
      </c>
      <c r="J11" s="17" t="e">
        <f>'04 Prevádzkové príjmy'!J11</f>
        <v>#REF!</v>
      </c>
      <c r="K11" s="17" t="e">
        <f>'04 Prevádzkové príjmy'!K11</f>
        <v>#REF!</v>
      </c>
      <c r="L11" s="17" t="e">
        <f>'04 Prevádzkové príjmy'!L11</f>
        <v>#REF!</v>
      </c>
      <c r="M11" s="17" t="e">
        <f>'04 Prevádzkové príjmy'!M11</f>
        <v>#REF!</v>
      </c>
      <c r="N11" s="17" t="e">
        <f>'04 Prevádzkové príjmy'!N11</f>
        <v>#REF!</v>
      </c>
      <c r="O11" s="17" t="e">
        <f>'04 Prevádzkové príjmy'!O11</f>
        <v>#REF!</v>
      </c>
      <c r="P11" s="17" t="e">
        <f>'04 Prevádzkové príjmy'!P11</f>
        <v>#REF!</v>
      </c>
      <c r="Q11" s="17" t="e">
        <f>'04 Prevádzkové príjmy'!Q11</f>
        <v>#REF!</v>
      </c>
      <c r="R11" s="17" t="e">
        <f>'04 Prevádzkové príjmy'!R11</f>
        <v>#REF!</v>
      </c>
      <c r="S11" s="17" t="e">
        <f>'04 Prevádzkové príjmy'!#REF!</f>
        <v>#REF!</v>
      </c>
      <c r="T11" s="17" t="e">
        <f>'04 Prevádzkové príjmy'!#REF!</f>
        <v>#REF!</v>
      </c>
      <c r="U11" s="17" t="e">
        <f>'04 Prevádzkové príjmy'!#REF!</f>
        <v>#REF!</v>
      </c>
      <c r="V11" s="17" t="e">
        <f>'04 Prevádzkové príjmy'!#REF!</f>
        <v>#REF!</v>
      </c>
      <c r="W11" s="17" t="e">
        <f>'04 Prevádzkové príjmy'!#REF!</f>
        <v>#REF!</v>
      </c>
      <c r="X11" s="17" t="e">
        <f>'04 Prevádzkové príjmy'!#REF!</f>
        <v>#REF!</v>
      </c>
      <c r="Y11" s="17" t="e">
        <f>'04 Prevádzkové príjmy'!#REF!</f>
        <v>#REF!</v>
      </c>
      <c r="Z11" s="17" t="e">
        <f>'04 Prevádzkové príjmy'!#REF!</f>
        <v>#REF!</v>
      </c>
      <c r="AA11" s="17" t="e">
        <f>'04 Prevádzkové príjmy'!#REF!</f>
        <v>#REF!</v>
      </c>
      <c r="AB11" s="17" t="e">
        <f>'04 Prevádzkové príjmy'!#REF!</f>
        <v>#REF!</v>
      </c>
      <c r="AC11" s="17" t="e">
        <f>'04 Prevádzkové príjmy'!#REF!</f>
        <v>#REF!</v>
      </c>
      <c r="AD11" s="17" t="e">
        <f>'04 Prevádzkové príjmy'!#REF!</f>
        <v>#REF!</v>
      </c>
      <c r="AE11" s="17" t="e">
        <f>'04 Prevádzkové príjmy'!#REF!</f>
        <v>#REF!</v>
      </c>
      <c r="AF11" s="17" t="e">
        <f>'04 Prevádzkové príjmy'!#REF!</f>
        <v>#REF!</v>
      </c>
      <c r="AG11" s="17" t="e">
        <f>'04 Prevádzkové príjmy'!#REF!</f>
        <v>#REF!</v>
      </c>
    </row>
    <row r="12" spans="1:33" x14ac:dyDescent="0.3">
      <c r="B12" s="6" t="s">
        <v>45</v>
      </c>
      <c r="C12" s="33" t="e">
        <f>D12+NPV(#REF!,E12:AG12)</f>
        <v>#REF!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34">
        <f>'02 Zostatková hodnota'!G7</f>
        <v>0</v>
      </c>
    </row>
    <row r="13" spans="1:33" x14ac:dyDescent="0.3">
      <c r="B13" s="9" t="s">
        <v>69</v>
      </c>
      <c r="C13" s="26" t="e">
        <f>D13+NPV(#REF!,E13:AG13)</f>
        <v>#REF!</v>
      </c>
      <c r="D13" s="20" t="e">
        <f>SUM(D9:D12)</f>
        <v>#REF!</v>
      </c>
      <c r="E13" s="20" t="e">
        <f t="shared" ref="E13:AG13" si="1">SUM(E9:E12)</f>
        <v>#REF!</v>
      </c>
      <c r="F13" s="20" t="e">
        <f t="shared" si="1"/>
        <v>#REF!</v>
      </c>
      <c r="G13" s="20" t="e">
        <f t="shared" si="1"/>
        <v>#REF!</v>
      </c>
      <c r="H13" s="20" t="e">
        <f t="shared" si="1"/>
        <v>#REF!</v>
      </c>
      <c r="I13" s="20" t="e">
        <f t="shared" si="1"/>
        <v>#REF!</v>
      </c>
      <c r="J13" s="20" t="e">
        <f t="shared" si="1"/>
        <v>#REF!</v>
      </c>
      <c r="K13" s="20" t="e">
        <f t="shared" si="1"/>
        <v>#REF!</v>
      </c>
      <c r="L13" s="20" t="e">
        <f t="shared" si="1"/>
        <v>#REF!</v>
      </c>
      <c r="M13" s="20" t="e">
        <f t="shared" si="1"/>
        <v>#REF!</v>
      </c>
      <c r="N13" s="20" t="e">
        <f t="shared" si="1"/>
        <v>#REF!</v>
      </c>
      <c r="O13" s="20" t="e">
        <f t="shared" si="1"/>
        <v>#REF!</v>
      </c>
      <c r="P13" s="20" t="e">
        <f t="shared" si="1"/>
        <v>#REF!</v>
      </c>
      <c r="Q13" s="20" t="e">
        <f t="shared" si="1"/>
        <v>#REF!</v>
      </c>
      <c r="R13" s="20" t="e">
        <f t="shared" si="1"/>
        <v>#REF!</v>
      </c>
      <c r="S13" s="20" t="e">
        <f t="shared" si="1"/>
        <v>#REF!</v>
      </c>
      <c r="T13" s="20" t="e">
        <f t="shared" si="1"/>
        <v>#REF!</v>
      </c>
      <c r="U13" s="20" t="e">
        <f t="shared" si="1"/>
        <v>#REF!</v>
      </c>
      <c r="V13" s="20" t="e">
        <f t="shared" si="1"/>
        <v>#REF!</v>
      </c>
      <c r="W13" s="20" t="e">
        <f t="shared" si="1"/>
        <v>#REF!</v>
      </c>
      <c r="X13" s="20" t="e">
        <f t="shared" si="1"/>
        <v>#REF!</v>
      </c>
      <c r="Y13" s="20" t="e">
        <f t="shared" si="1"/>
        <v>#REF!</v>
      </c>
      <c r="Z13" s="20" t="e">
        <f t="shared" si="1"/>
        <v>#REF!</v>
      </c>
      <c r="AA13" s="20" t="e">
        <f t="shared" si="1"/>
        <v>#REF!</v>
      </c>
      <c r="AB13" s="20" t="e">
        <f t="shared" si="1"/>
        <v>#REF!</v>
      </c>
      <c r="AC13" s="20" t="e">
        <f t="shared" si="1"/>
        <v>#REF!</v>
      </c>
      <c r="AD13" s="20" t="e">
        <f t="shared" si="1"/>
        <v>#REF!</v>
      </c>
      <c r="AE13" s="20" t="e">
        <f t="shared" si="1"/>
        <v>#REF!</v>
      </c>
      <c r="AF13" s="20" t="e">
        <f t="shared" si="1"/>
        <v>#REF!</v>
      </c>
      <c r="AG13" s="20" t="e">
        <f t="shared" si="1"/>
        <v>#REF!</v>
      </c>
    </row>
    <row r="15" spans="1:33" x14ac:dyDescent="0.3">
      <c r="B15" s="6" t="s">
        <v>75</v>
      </c>
      <c r="C15" s="35" t="e">
        <f>SUM(C9:C12)</f>
        <v>#REF!</v>
      </c>
      <c r="D15" s="6" t="s">
        <v>71</v>
      </c>
    </row>
    <row r="17" spans="2:33" x14ac:dyDescent="0.3">
      <c r="B17" s="9" t="s">
        <v>50</v>
      </c>
      <c r="C17" s="9"/>
      <c r="D17" s="6" t="s">
        <v>52</v>
      </c>
    </row>
    <row r="18" spans="2:33" x14ac:dyDescent="0.3">
      <c r="B18" s="9"/>
      <c r="C18" s="18" t="s">
        <v>33</v>
      </c>
      <c r="D18" s="27">
        <v>1</v>
      </c>
      <c r="E18" s="27">
        <v>2</v>
      </c>
      <c r="F18" s="27">
        <v>3</v>
      </c>
      <c r="G18" s="27">
        <v>4</v>
      </c>
      <c r="H18" s="27">
        <v>5</v>
      </c>
      <c r="I18" s="27">
        <v>6</v>
      </c>
      <c r="J18" s="27">
        <v>7</v>
      </c>
      <c r="K18" s="27">
        <v>8</v>
      </c>
      <c r="L18" s="27">
        <v>9</v>
      </c>
      <c r="M18" s="27">
        <v>10</v>
      </c>
      <c r="N18" s="27">
        <v>11</v>
      </c>
      <c r="O18" s="27">
        <v>12</v>
      </c>
      <c r="P18" s="27">
        <v>13</v>
      </c>
      <c r="Q18" s="27">
        <v>14</v>
      </c>
      <c r="R18" s="27">
        <v>15</v>
      </c>
      <c r="S18" s="27">
        <v>16</v>
      </c>
      <c r="T18" s="27">
        <v>17</v>
      </c>
      <c r="U18" s="27">
        <v>18</v>
      </c>
      <c r="V18" s="27">
        <v>19</v>
      </c>
      <c r="W18" s="27">
        <v>20</v>
      </c>
      <c r="X18" s="27">
        <v>21</v>
      </c>
      <c r="Y18" s="27">
        <v>22</v>
      </c>
      <c r="Z18" s="27">
        <v>23</v>
      </c>
      <c r="AA18" s="27">
        <v>24</v>
      </c>
      <c r="AB18" s="27">
        <v>25</v>
      </c>
      <c r="AC18" s="27">
        <v>26</v>
      </c>
      <c r="AD18" s="27">
        <v>27</v>
      </c>
      <c r="AE18" s="27">
        <v>28</v>
      </c>
      <c r="AF18" s="27">
        <v>29</v>
      </c>
      <c r="AG18" s="27">
        <v>30</v>
      </c>
    </row>
    <row r="19" spans="2:33" x14ac:dyDescent="0.3">
      <c r="B19" s="23" t="s">
        <v>64</v>
      </c>
      <c r="C19" s="32" t="s">
        <v>65</v>
      </c>
      <c r="D19" s="24">
        <v>2022</v>
      </c>
      <c r="E19" s="24">
        <f>$D$19+D18</f>
        <v>2023</v>
      </c>
      <c r="F19" s="24">
        <f>$D$19+E18</f>
        <v>2024</v>
      </c>
      <c r="G19" s="24">
        <f t="shared" ref="G19:AG19" si="2">$D$19+F18</f>
        <v>2025</v>
      </c>
      <c r="H19" s="24">
        <f t="shared" si="2"/>
        <v>2026</v>
      </c>
      <c r="I19" s="24">
        <f t="shared" si="2"/>
        <v>2027</v>
      </c>
      <c r="J19" s="24">
        <f t="shared" si="2"/>
        <v>2028</v>
      </c>
      <c r="K19" s="24">
        <f t="shared" si="2"/>
        <v>2029</v>
      </c>
      <c r="L19" s="24">
        <f t="shared" si="2"/>
        <v>2030</v>
      </c>
      <c r="M19" s="24">
        <f t="shared" si="2"/>
        <v>2031</v>
      </c>
      <c r="N19" s="24">
        <f t="shared" si="2"/>
        <v>2032</v>
      </c>
      <c r="O19" s="24">
        <f t="shared" si="2"/>
        <v>2033</v>
      </c>
      <c r="P19" s="24">
        <f t="shared" si="2"/>
        <v>2034</v>
      </c>
      <c r="Q19" s="24">
        <f t="shared" si="2"/>
        <v>2035</v>
      </c>
      <c r="R19" s="24">
        <f t="shared" si="2"/>
        <v>2036</v>
      </c>
      <c r="S19" s="24">
        <f t="shared" si="2"/>
        <v>2037</v>
      </c>
      <c r="T19" s="24">
        <f t="shared" si="2"/>
        <v>2038</v>
      </c>
      <c r="U19" s="24">
        <f t="shared" si="2"/>
        <v>2039</v>
      </c>
      <c r="V19" s="24">
        <f t="shared" si="2"/>
        <v>2040</v>
      </c>
      <c r="W19" s="24">
        <f t="shared" si="2"/>
        <v>2041</v>
      </c>
      <c r="X19" s="24">
        <f t="shared" si="2"/>
        <v>2042</v>
      </c>
      <c r="Y19" s="24">
        <f t="shared" si="2"/>
        <v>2043</v>
      </c>
      <c r="Z19" s="24">
        <f t="shared" si="2"/>
        <v>2044</v>
      </c>
      <c r="AA19" s="24">
        <f t="shared" si="2"/>
        <v>2045</v>
      </c>
      <c r="AB19" s="24">
        <f t="shared" si="2"/>
        <v>2046</v>
      </c>
      <c r="AC19" s="24">
        <f t="shared" si="2"/>
        <v>2047</v>
      </c>
      <c r="AD19" s="24">
        <f t="shared" si="2"/>
        <v>2048</v>
      </c>
      <c r="AE19" s="24">
        <f t="shared" si="2"/>
        <v>2049</v>
      </c>
      <c r="AF19" s="24">
        <f t="shared" si="2"/>
        <v>2050</v>
      </c>
      <c r="AG19" s="24">
        <f t="shared" si="2"/>
        <v>2051</v>
      </c>
    </row>
    <row r="20" spans="2:33" x14ac:dyDescent="0.3">
      <c r="B20" s="6" t="s">
        <v>66</v>
      </c>
      <c r="C20" s="33" t="e">
        <f>D20+NPV(#REF!,E20:AG20)</f>
        <v>#REF!</v>
      </c>
      <c r="D20" s="17" t="e">
        <f>-'01 Investičné výdavky'!E15*#REF!</f>
        <v>#REF!</v>
      </c>
      <c r="E20" s="17" t="e">
        <f>-'01 Investičné výdavky'!F15*#REF!</f>
        <v>#REF!</v>
      </c>
      <c r="F20" s="17" t="e">
        <f>-'01 Investičné výdavky'!G15*#REF!</f>
        <v>#REF!</v>
      </c>
      <c r="G20" s="17" t="e">
        <f>-'01 Investičné výdavky'!H15*#REF!</f>
        <v>#REF!</v>
      </c>
      <c r="H20" s="17" t="e">
        <f>-'01 Investičné výdavky'!I15*#REF!</f>
        <v>#REF!</v>
      </c>
      <c r="I20" s="17" t="e">
        <f>-'01 Investičné výdavky'!J15*#REF!</f>
        <v>#REF!</v>
      </c>
      <c r="J20" s="17" t="e">
        <f>-'01 Investičné výdavky'!K15*#REF!</f>
        <v>#REF!</v>
      </c>
      <c r="K20" s="17" t="e">
        <f>-'01 Investičné výdavky'!L15*#REF!</f>
        <v>#REF!</v>
      </c>
      <c r="L20" s="17" t="e">
        <f>-'01 Investičné výdavky'!M15*#REF!</f>
        <v>#REF!</v>
      </c>
      <c r="M20" s="17" t="e">
        <f>-'01 Investičné výdavky'!N15*#REF!</f>
        <v>#REF!</v>
      </c>
      <c r="N20" s="17" t="e">
        <f>-'01 Investičné výdavky'!O15*#REF!</f>
        <v>#REF!</v>
      </c>
      <c r="O20" s="17" t="e">
        <f>-'01 Investičné výdavky'!P15*#REF!</f>
        <v>#REF!</v>
      </c>
      <c r="P20" s="17" t="e">
        <f>-'01 Investičné výdavky'!Q15*#REF!</f>
        <v>#REF!</v>
      </c>
      <c r="Q20" s="17" t="e">
        <f>-'01 Investičné výdavky'!R15*#REF!</f>
        <v>#REF!</v>
      </c>
      <c r="R20" s="17" t="e">
        <f>-'01 Investičné výdavky'!S15*#REF!</f>
        <v>#REF!</v>
      </c>
      <c r="S20" s="17" t="e">
        <f>-'01 Investičné výdavky'!T15*#REF!</f>
        <v>#REF!</v>
      </c>
      <c r="T20" s="17" t="e">
        <f>-'01 Investičné výdavky'!U15*#REF!</f>
        <v>#REF!</v>
      </c>
      <c r="U20" s="17" t="e">
        <f>-'01 Investičné výdavky'!V15*#REF!</f>
        <v>#REF!</v>
      </c>
      <c r="V20" s="17" t="e">
        <f>-'01 Investičné výdavky'!W15*#REF!</f>
        <v>#REF!</v>
      </c>
      <c r="W20" s="17" t="e">
        <f>-'01 Investičné výdavky'!X15*#REF!</f>
        <v>#REF!</v>
      </c>
      <c r="X20" s="17" t="e">
        <f>-'01 Investičné výdavky'!Y15*#REF!</f>
        <v>#REF!</v>
      </c>
      <c r="Y20" s="17" t="e">
        <f>-'01 Investičné výdavky'!Z15*#REF!</f>
        <v>#REF!</v>
      </c>
      <c r="Z20" s="17" t="e">
        <f>-'01 Investičné výdavky'!AA15*#REF!</f>
        <v>#REF!</v>
      </c>
      <c r="AA20" s="17" t="e">
        <f>-'01 Investičné výdavky'!AB15*#REF!</f>
        <v>#REF!</v>
      </c>
      <c r="AB20" s="17" t="e">
        <f>-'01 Investičné výdavky'!AC15*#REF!</f>
        <v>#REF!</v>
      </c>
      <c r="AC20" s="17" t="e">
        <f>-'01 Investičné výdavky'!AD15*#REF!</f>
        <v>#REF!</v>
      </c>
      <c r="AD20" s="17" t="e">
        <f>-'01 Investičné výdavky'!AE15*#REF!</f>
        <v>#REF!</v>
      </c>
      <c r="AE20" s="17" t="e">
        <f>-'01 Investičné výdavky'!AF15*#REF!</f>
        <v>#REF!</v>
      </c>
      <c r="AF20" s="17" t="e">
        <f>-'01 Investičné výdavky'!AG15*#REF!</f>
        <v>#REF!</v>
      </c>
      <c r="AG20" s="17" t="e">
        <f>-'01 Investičné výdavky'!AH15*#REF!</f>
        <v>#REF!</v>
      </c>
    </row>
    <row r="21" spans="2:33" x14ac:dyDescent="0.3">
      <c r="B21" s="6" t="s">
        <v>67</v>
      </c>
      <c r="C21" s="33" t="e">
        <f>D21+NPV(#REF!,E21:AG21)</f>
        <v>#REF!</v>
      </c>
      <c r="D21" s="17" t="e">
        <f>#REF!*#REF!+'Vstupy emisie'!D9</f>
        <v>#REF!</v>
      </c>
      <c r="E21" s="17" t="e">
        <f>#REF!*#REF!+'Vstupy emisie'!E9</f>
        <v>#REF!</v>
      </c>
      <c r="F21" s="17" t="e">
        <f>#REF!*#REF!+'Vstupy emisie'!F9</f>
        <v>#REF!</v>
      </c>
      <c r="G21" s="17" t="e">
        <f>#REF!*#REF!+'Vstupy emisie'!G9</f>
        <v>#REF!</v>
      </c>
      <c r="H21" s="17" t="e">
        <f>#REF!*#REF!+'Vstupy emisie'!H9</f>
        <v>#REF!</v>
      </c>
      <c r="I21" s="17" t="e">
        <f>#REF!*#REF!+'Vstupy emisie'!I9</f>
        <v>#REF!</v>
      </c>
      <c r="J21" s="17" t="e">
        <f>#REF!*#REF!+'Vstupy emisie'!J9</f>
        <v>#REF!</v>
      </c>
      <c r="K21" s="17" t="e">
        <f>#REF!*#REF!+'Vstupy emisie'!K9</f>
        <v>#REF!</v>
      </c>
      <c r="L21" s="17" t="e">
        <f>#REF!*#REF!+'Vstupy emisie'!L9</f>
        <v>#REF!</v>
      </c>
      <c r="M21" s="17" t="e">
        <f>#REF!*#REF!+'Vstupy emisie'!M9</f>
        <v>#REF!</v>
      </c>
      <c r="N21" s="17" t="e">
        <f>#REF!*#REF!+'Vstupy emisie'!N9</f>
        <v>#REF!</v>
      </c>
      <c r="O21" s="17" t="e">
        <f>#REF!*#REF!+'Vstupy emisie'!O9</f>
        <v>#REF!</v>
      </c>
      <c r="P21" s="17" t="e">
        <f>#REF!*#REF!+'Vstupy emisie'!P9</f>
        <v>#REF!</v>
      </c>
      <c r="Q21" s="17" t="e">
        <f>#REF!*#REF!+'Vstupy emisie'!Q9</f>
        <v>#REF!</v>
      </c>
      <c r="R21" s="17" t="e">
        <f>#REF!*#REF!+'Vstupy emisie'!R9</f>
        <v>#REF!</v>
      </c>
      <c r="S21" s="17" t="e">
        <f>#REF!*#REF!+'Vstupy emisie'!S9</f>
        <v>#REF!</v>
      </c>
      <c r="T21" s="17" t="e">
        <f>#REF!*#REF!+'Vstupy emisie'!T9</f>
        <v>#REF!</v>
      </c>
      <c r="U21" s="17" t="e">
        <f>#REF!*#REF!+'Vstupy emisie'!U9</f>
        <v>#REF!</v>
      </c>
      <c r="V21" s="17" t="e">
        <f>#REF!*#REF!+'Vstupy emisie'!V9</f>
        <v>#REF!</v>
      </c>
      <c r="W21" s="17" t="e">
        <f>#REF!*#REF!+'Vstupy emisie'!W9</f>
        <v>#REF!</v>
      </c>
      <c r="X21" s="17" t="e">
        <f>#REF!*#REF!+'Vstupy emisie'!X9</f>
        <v>#REF!</v>
      </c>
      <c r="Y21" s="17" t="e">
        <f>#REF!*#REF!+'Vstupy emisie'!Y9</f>
        <v>#REF!</v>
      </c>
      <c r="Z21" s="17" t="e">
        <f>#REF!*#REF!+'Vstupy emisie'!Z9</f>
        <v>#REF!</v>
      </c>
      <c r="AA21" s="17" t="e">
        <f>#REF!*#REF!+'Vstupy emisie'!AA9</f>
        <v>#REF!</v>
      </c>
      <c r="AB21" s="17" t="e">
        <f>#REF!*#REF!+'Vstupy emisie'!AB9</f>
        <v>#REF!</v>
      </c>
      <c r="AC21" s="17" t="e">
        <f>#REF!*#REF!+'Vstupy emisie'!AC9</f>
        <v>#REF!</v>
      </c>
      <c r="AD21" s="17" t="e">
        <f>#REF!*#REF!+'Vstupy emisie'!AD9</f>
        <v>#REF!</v>
      </c>
      <c r="AE21" s="17" t="e">
        <f>#REF!*#REF!+'Vstupy emisie'!AE9</f>
        <v>#REF!</v>
      </c>
      <c r="AF21" s="17" t="e">
        <f>#REF!*#REF!+'Vstupy emisie'!AF9</f>
        <v>#REF!</v>
      </c>
      <c r="AG21" s="17" t="e">
        <f>#REF!*#REF!+'Vstupy emisie'!AG9</f>
        <v>#REF!</v>
      </c>
    </row>
    <row r="22" spans="2:33" x14ac:dyDescent="0.3">
      <c r="B22" s="6" t="s">
        <v>68</v>
      </c>
      <c r="C22" s="33" t="e">
        <f>D22+NPV(#REF!,E22:AG22)</f>
        <v>#REF!</v>
      </c>
      <c r="D22" s="17" t="e">
        <f>'04 Prevádzkové príjmy'!D12</f>
        <v>#REF!</v>
      </c>
      <c r="E22" s="17" t="e">
        <f>'04 Prevádzkové príjmy'!E12</f>
        <v>#REF!</v>
      </c>
      <c r="F22" s="17" t="e">
        <f>'04 Prevádzkové príjmy'!F12</f>
        <v>#REF!</v>
      </c>
      <c r="G22" s="17" t="e">
        <f>'04 Prevádzkové príjmy'!G12</f>
        <v>#REF!</v>
      </c>
      <c r="H22" s="17" t="e">
        <f>'04 Prevádzkové príjmy'!H12</f>
        <v>#REF!</v>
      </c>
      <c r="I22" s="17" t="e">
        <f>'04 Prevádzkové príjmy'!I12</f>
        <v>#REF!</v>
      </c>
      <c r="J22" s="17" t="e">
        <f>'04 Prevádzkové príjmy'!J12</f>
        <v>#REF!</v>
      </c>
      <c r="K22" s="17" t="e">
        <f>'04 Prevádzkové príjmy'!K12</f>
        <v>#REF!</v>
      </c>
      <c r="L22" s="17" t="e">
        <f>'04 Prevádzkové príjmy'!L12</f>
        <v>#REF!</v>
      </c>
      <c r="M22" s="17" t="e">
        <f>'04 Prevádzkové príjmy'!M12</f>
        <v>#REF!</v>
      </c>
      <c r="N22" s="17" t="e">
        <f>'04 Prevádzkové príjmy'!N12</f>
        <v>#REF!</v>
      </c>
      <c r="O22" s="17" t="e">
        <f>'04 Prevádzkové príjmy'!O12</f>
        <v>#REF!</v>
      </c>
      <c r="P22" s="17" t="e">
        <f>'04 Prevádzkové príjmy'!P12</f>
        <v>#REF!</v>
      </c>
      <c r="Q22" s="17" t="e">
        <f>'04 Prevádzkové príjmy'!Q12</f>
        <v>#REF!</v>
      </c>
      <c r="R22" s="17" t="e">
        <f>'04 Prevádzkové príjmy'!R12</f>
        <v>#REF!</v>
      </c>
      <c r="S22" s="17" t="e">
        <f>'04 Prevádzkové príjmy'!#REF!</f>
        <v>#REF!</v>
      </c>
      <c r="T22" s="17" t="e">
        <f>'04 Prevádzkové príjmy'!#REF!</f>
        <v>#REF!</v>
      </c>
      <c r="U22" s="17" t="e">
        <f>'04 Prevádzkové príjmy'!#REF!</f>
        <v>#REF!</v>
      </c>
      <c r="V22" s="17" t="e">
        <f>'04 Prevádzkové príjmy'!#REF!</f>
        <v>#REF!</v>
      </c>
      <c r="W22" s="17" t="e">
        <f>'04 Prevádzkové príjmy'!#REF!</f>
        <v>#REF!</v>
      </c>
      <c r="X22" s="17" t="e">
        <f>'04 Prevádzkové príjmy'!#REF!</f>
        <v>#REF!</v>
      </c>
      <c r="Y22" s="17" t="e">
        <f>'04 Prevádzkové príjmy'!#REF!</f>
        <v>#REF!</v>
      </c>
      <c r="Z22" s="17" t="e">
        <f>'04 Prevádzkové príjmy'!#REF!</f>
        <v>#REF!</v>
      </c>
      <c r="AA22" s="17" t="e">
        <f>'04 Prevádzkové príjmy'!#REF!</f>
        <v>#REF!</v>
      </c>
      <c r="AB22" s="17" t="e">
        <f>'04 Prevádzkové príjmy'!#REF!</f>
        <v>#REF!</v>
      </c>
      <c r="AC22" s="17" t="e">
        <f>'04 Prevádzkové príjmy'!#REF!</f>
        <v>#REF!</v>
      </c>
      <c r="AD22" s="17" t="e">
        <f>'04 Prevádzkové príjmy'!#REF!</f>
        <v>#REF!</v>
      </c>
      <c r="AE22" s="17" t="e">
        <f>'04 Prevádzkové príjmy'!#REF!</f>
        <v>#REF!</v>
      </c>
      <c r="AF22" s="17" t="e">
        <f>'04 Prevádzkové príjmy'!#REF!</f>
        <v>#REF!</v>
      </c>
      <c r="AG22" s="17" t="e">
        <f>'04 Prevádzkové príjmy'!#REF!</f>
        <v>#REF!</v>
      </c>
    </row>
    <row r="23" spans="2:33" x14ac:dyDescent="0.3">
      <c r="B23" s="6" t="s">
        <v>45</v>
      </c>
      <c r="C23" s="33" t="e">
        <f>D23+NPV(#REF!,E23:AG23)</f>
        <v>#REF!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34" t="e">
        <f>'02 Zostatková hodnota'!G12*#REF!</f>
        <v>#REF!</v>
      </c>
    </row>
    <row r="24" spans="2:33" x14ac:dyDescent="0.3">
      <c r="B24" s="9" t="s">
        <v>69</v>
      </c>
      <c r="C24" s="26" t="e">
        <f>D24+NPV(#REF!,E24:AG24)</f>
        <v>#REF!</v>
      </c>
      <c r="D24" s="20" t="e">
        <f>SUM(D20:D23)</f>
        <v>#REF!</v>
      </c>
      <c r="E24" s="20" t="e">
        <f t="shared" ref="E24:AG24" si="3">SUM(E20:E23)</f>
        <v>#REF!</v>
      </c>
      <c r="F24" s="20" t="e">
        <f t="shared" si="3"/>
        <v>#REF!</v>
      </c>
      <c r="G24" s="20" t="e">
        <f t="shared" si="3"/>
        <v>#REF!</v>
      </c>
      <c r="H24" s="20" t="e">
        <f t="shared" si="3"/>
        <v>#REF!</v>
      </c>
      <c r="I24" s="20" t="e">
        <f t="shared" si="3"/>
        <v>#REF!</v>
      </c>
      <c r="J24" s="20" t="e">
        <f t="shared" si="3"/>
        <v>#REF!</v>
      </c>
      <c r="K24" s="20" t="e">
        <f t="shared" si="3"/>
        <v>#REF!</v>
      </c>
      <c r="L24" s="20" t="e">
        <f t="shared" si="3"/>
        <v>#REF!</v>
      </c>
      <c r="M24" s="20" t="e">
        <f t="shared" si="3"/>
        <v>#REF!</v>
      </c>
      <c r="N24" s="20" t="e">
        <f t="shared" si="3"/>
        <v>#REF!</v>
      </c>
      <c r="O24" s="20" t="e">
        <f t="shared" si="3"/>
        <v>#REF!</v>
      </c>
      <c r="P24" s="20" t="e">
        <f t="shared" si="3"/>
        <v>#REF!</v>
      </c>
      <c r="Q24" s="20" t="e">
        <f t="shared" si="3"/>
        <v>#REF!</v>
      </c>
      <c r="R24" s="20" t="e">
        <f t="shared" si="3"/>
        <v>#REF!</v>
      </c>
      <c r="S24" s="20" t="e">
        <f t="shared" si="3"/>
        <v>#REF!</v>
      </c>
      <c r="T24" s="20" t="e">
        <f t="shared" si="3"/>
        <v>#REF!</v>
      </c>
      <c r="U24" s="20" t="e">
        <f t="shared" si="3"/>
        <v>#REF!</v>
      </c>
      <c r="V24" s="20" t="e">
        <f t="shared" si="3"/>
        <v>#REF!</v>
      </c>
      <c r="W24" s="20" t="e">
        <f t="shared" si="3"/>
        <v>#REF!</v>
      </c>
      <c r="X24" s="20" t="e">
        <f t="shared" si="3"/>
        <v>#REF!</v>
      </c>
      <c r="Y24" s="20" t="e">
        <f t="shared" si="3"/>
        <v>#REF!</v>
      </c>
      <c r="Z24" s="20" t="e">
        <f t="shared" si="3"/>
        <v>#REF!</v>
      </c>
      <c r="AA24" s="20" t="e">
        <f t="shared" si="3"/>
        <v>#REF!</v>
      </c>
      <c r="AB24" s="20" t="e">
        <f t="shared" si="3"/>
        <v>#REF!</v>
      </c>
      <c r="AC24" s="20" t="e">
        <f t="shared" si="3"/>
        <v>#REF!</v>
      </c>
      <c r="AD24" s="20" t="e">
        <f t="shared" si="3"/>
        <v>#REF!</v>
      </c>
      <c r="AE24" s="20" t="e">
        <f t="shared" si="3"/>
        <v>#REF!</v>
      </c>
      <c r="AF24" s="20" t="e">
        <f t="shared" si="3"/>
        <v>#REF!</v>
      </c>
      <c r="AG24" s="20" t="e">
        <f t="shared" si="3"/>
        <v>#REF!</v>
      </c>
    </row>
    <row r="26" spans="2:33" x14ac:dyDescent="0.3">
      <c r="B26" s="6" t="s">
        <v>75</v>
      </c>
      <c r="C26" s="35" t="e">
        <f>SUM(C20:C23)</f>
        <v>#REF!</v>
      </c>
      <c r="D26" s="6" t="s">
        <v>71</v>
      </c>
    </row>
    <row r="28" spans="2:33" x14ac:dyDescent="0.3">
      <c r="B28" s="9" t="s">
        <v>51</v>
      </c>
      <c r="C28" s="9"/>
      <c r="D28" s="6" t="s">
        <v>52</v>
      </c>
    </row>
    <row r="29" spans="2:33" x14ac:dyDescent="0.3">
      <c r="B29" s="9"/>
      <c r="C29" s="18" t="s">
        <v>33</v>
      </c>
      <c r="D29" s="27">
        <v>1</v>
      </c>
      <c r="E29" s="27">
        <v>2</v>
      </c>
      <c r="F29" s="27">
        <v>3</v>
      </c>
      <c r="G29" s="27">
        <v>4</v>
      </c>
      <c r="H29" s="27">
        <v>5</v>
      </c>
      <c r="I29" s="27">
        <v>6</v>
      </c>
      <c r="J29" s="27">
        <v>7</v>
      </c>
      <c r="K29" s="27">
        <v>8</v>
      </c>
      <c r="L29" s="27">
        <v>9</v>
      </c>
      <c r="M29" s="27">
        <v>10</v>
      </c>
      <c r="N29" s="27">
        <v>11</v>
      </c>
      <c r="O29" s="27">
        <v>12</v>
      </c>
      <c r="P29" s="27">
        <v>13</v>
      </c>
      <c r="Q29" s="27">
        <v>14</v>
      </c>
      <c r="R29" s="27">
        <v>15</v>
      </c>
      <c r="S29" s="27">
        <v>16</v>
      </c>
      <c r="T29" s="27">
        <v>17</v>
      </c>
      <c r="U29" s="27">
        <v>18</v>
      </c>
      <c r="V29" s="27">
        <v>19</v>
      </c>
      <c r="W29" s="27">
        <v>20</v>
      </c>
      <c r="X29" s="27">
        <v>21</v>
      </c>
      <c r="Y29" s="27">
        <v>22</v>
      </c>
      <c r="Z29" s="27">
        <v>23</v>
      </c>
      <c r="AA29" s="27">
        <v>24</v>
      </c>
      <c r="AB29" s="27">
        <v>25</v>
      </c>
      <c r="AC29" s="27">
        <v>26</v>
      </c>
      <c r="AD29" s="27">
        <v>27</v>
      </c>
      <c r="AE29" s="27">
        <v>28</v>
      </c>
      <c r="AF29" s="27">
        <v>29</v>
      </c>
      <c r="AG29" s="27">
        <v>30</v>
      </c>
    </row>
    <row r="30" spans="2:33" x14ac:dyDescent="0.3">
      <c r="B30" s="23" t="s">
        <v>64</v>
      </c>
      <c r="C30" s="32" t="s">
        <v>65</v>
      </c>
      <c r="D30" s="24">
        <v>2022</v>
      </c>
      <c r="E30" s="24">
        <f>$D$19+D29</f>
        <v>2023</v>
      </c>
      <c r="F30" s="24">
        <f>$D$19+E29</f>
        <v>2024</v>
      </c>
      <c r="G30" s="24">
        <f t="shared" ref="G30:AG30" si="4">$D$19+F29</f>
        <v>2025</v>
      </c>
      <c r="H30" s="24">
        <f t="shared" si="4"/>
        <v>2026</v>
      </c>
      <c r="I30" s="24">
        <f t="shared" si="4"/>
        <v>2027</v>
      </c>
      <c r="J30" s="24">
        <f t="shared" si="4"/>
        <v>2028</v>
      </c>
      <c r="K30" s="24">
        <f t="shared" si="4"/>
        <v>2029</v>
      </c>
      <c r="L30" s="24">
        <f t="shared" si="4"/>
        <v>2030</v>
      </c>
      <c r="M30" s="24">
        <f t="shared" si="4"/>
        <v>2031</v>
      </c>
      <c r="N30" s="24">
        <f t="shared" si="4"/>
        <v>2032</v>
      </c>
      <c r="O30" s="24">
        <f t="shared" si="4"/>
        <v>2033</v>
      </c>
      <c r="P30" s="24">
        <f t="shared" si="4"/>
        <v>2034</v>
      </c>
      <c r="Q30" s="24">
        <f t="shared" si="4"/>
        <v>2035</v>
      </c>
      <c r="R30" s="24">
        <f t="shared" si="4"/>
        <v>2036</v>
      </c>
      <c r="S30" s="24">
        <f t="shared" si="4"/>
        <v>2037</v>
      </c>
      <c r="T30" s="24">
        <f t="shared" si="4"/>
        <v>2038</v>
      </c>
      <c r="U30" s="24">
        <f t="shared" si="4"/>
        <v>2039</v>
      </c>
      <c r="V30" s="24">
        <f t="shared" si="4"/>
        <v>2040</v>
      </c>
      <c r="W30" s="24">
        <f t="shared" si="4"/>
        <v>2041</v>
      </c>
      <c r="X30" s="24">
        <f t="shared" si="4"/>
        <v>2042</v>
      </c>
      <c r="Y30" s="24">
        <f t="shared" si="4"/>
        <v>2043</v>
      </c>
      <c r="Z30" s="24">
        <f t="shared" si="4"/>
        <v>2044</v>
      </c>
      <c r="AA30" s="24">
        <f t="shared" si="4"/>
        <v>2045</v>
      </c>
      <c r="AB30" s="24">
        <f t="shared" si="4"/>
        <v>2046</v>
      </c>
      <c r="AC30" s="24">
        <f t="shared" si="4"/>
        <v>2047</v>
      </c>
      <c r="AD30" s="24">
        <f t="shared" si="4"/>
        <v>2048</v>
      </c>
      <c r="AE30" s="24">
        <f t="shared" si="4"/>
        <v>2049</v>
      </c>
      <c r="AF30" s="24">
        <f t="shared" si="4"/>
        <v>2050</v>
      </c>
      <c r="AG30" s="24">
        <f t="shared" si="4"/>
        <v>2051</v>
      </c>
    </row>
    <row r="31" spans="2:33" x14ac:dyDescent="0.3">
      <c r="B31" s="6" t="s">
        <v>66</v>
      </c>
      <c r="C31" s="33" t="e">
        <f>D31+NPV(#REF!,E31:AG31)</f>
        <v>#REF!</v>
      </c>
      <c r="D31" s="17" t="e">
        <f>-'01 Investičné výdavky'!E23*#REF!</f>
        <v>#REF!</v>
      </c>
      <c r="E31" s="17">
        <f>-'01 Investičné výdavky'!F23</f>
        <v>0</v>
      </c>
      <c r="F31" s="17">
        <f>-'01 Investičné výdavky'!G23</f>
        <v>0</v>
      </c>
      <c r="G31" s="17">
        <f>-'01 Investičné výdavky'!H23</f>
        <v>0</v>
      </c>
      <c r="H31" s="17">
        <f>-'01 Investičné výdavky'!I23</f>
        <v>0</v>
      </c>
      <c r="I31" s="17">
        <f>-'01 Investičné výdavky'!J23</f>
        <v>0</v>
      </c>
      <c r="J31" s="17">
        <f>-'01 Investičné výdavky'!K23</f>
        <v>0</v>
      </c>
      <c r="K31" s="17">
        <f>-'01 Investičné výdavky'!L23</f>
        <v>0</v>
      </c>
      <c r="L31" s="17">
        <f>-'01 Investičné výdavky'!M23</f>
        <v>0</v>
      </c>
      <c r="M31" s="17">
        <f>-'01 Investičné výdavky'!N23</f>
        <v>0</v>
      </c>
      <c r="N31" s="17">
        <f>-'01 Investičné výdavky'!O23</f>
        <v>0</v>
      </c>
      <c r="O31" s="17">
        <f>-'01 Investičné výdavky'!P23</f>
        <v>0</v>
      </c>
      <c r="P31" s="17">
        <f>-'01 Investičné výdavky'!Q23</f>
        <v>0</v>
      </c>
      <c r="Q31" s="17">
        <f>-'01 Investičné výdavky'!R23</f>
        <v>0</v>
      </c>
      <c r="R31" s="17">
        <f>-'01 Investičné výdavky'!S23</f>
        <v>0</v>
      </c>
      <c r="S31" s="17">
        <f>-'01 Investičné výdavky'!T23</f>
        <v>0</v>
      </c>
      <c r="T31" s="17">
        <f>-'01 Investičné výdavky'!U23</f>
        <v>0</v>
      </c>
      <c r="U31" s="17">
        <f>-'01 Investičné výdavky'!V23</f>
        <v>0</v>
      </c>
      <c r="V31" s="17">
        <f>-'01 Investičné výdavky'!W23</f>
        <v>0</v>
      </c>
      <c r="W31" s="17">
        <f>-'01 Investičné výdavky'!X23</f>
        <v>0</v>
      </c>
      <c r="X31" s="17">
        <f>-'01 Investičné výdavky'!Y23</f>
        <v>0</v>
      </c>
      <c r="Y31" s="17">
        <f>-'01 Investičné výdavky'!Z23</f>
        <v>0</v>
      </c>
      <c r="Z31" s="17">
        <f>-'01 Investičné výdavky'!AA23</f>
        <v>0</v>
      </c>
      <c r="AA31" s="17">
        <f>-'01 Investičné výdavky'!AB23</f>
        <v>0</v>
      </c>
      <c r="AB31" s="17">
        <f>-'01 Investičné výdavky'!AC23</f>
        <v>0</v>
      </c>
      <c r="AC31" s="17">
        <f>-'01 Investičné výdavky'!AD23</f>
        <v>0</v>
      </c>
      <c r="AD31" s="17">
        <f>-'01 Investičné výdavky'!AE23</f>
        <v>0</v>
      </c>
      <c r="AE31" s="17">
        <f>-'01 Investičné výdavky'!AF23</f>
        <v>0</v>
      </c>
      <c r="AF31" s="17">
        <f>-'01 Investičné výdavky'!AG23</f>
        <v>0</v>
      </c>
      <c r="AG31" s="17">
        <f>-'01 Investičné výdavky'!AH23</f>
        <v>0</v>
      </c>
    </row>
    <row r="32" spans="2:33" x14ac:dyDescent="0.3">
      <c r="B32" s="6" t="s">
        <v>67</v>
      </c>
      <c r="C32" s="33" t="e">
        <f>D32+NPV(#REF!,E32:AG32)</f>
        <v>#REF!</v>
      </c>
      <c r="D32" s="17" t="e">
        <f>#REF!*#REF!+'Vstupy emisie'!D14</f>
        <v>#REF!</v>
      </c>
      <c r="E32" s="17" t="e">
        <f>#REF!*#REF!+'Vstupy emisie'!E14</f>
        <v>#REF!</v>
      </c>
      <c r="F32" s="17" t="e">
        <f>#REF!*#REF!+'Vstupy emisie'!F14</f>
        <v>#REF!</v>
      </c>
      <c r="G32" s="17" t="e">
        <f>#REF!*#REF!+'Vstupy emisie'!G14</f>
        <v>#REF!</v>
      </c>
      <c r="H32" s="17" t="e">
        <f>#REF!*#REF!+'Vstupy emisie'!H14</f>
        <v>#REF!</v>
      </c>
      <c r="I32" s="17" t="e">
        <f>#REF!*#REF!+'Vstupy emisie'!I14</f>
        <v>#REF!</v>
      </c>
      <c r="J32" s="17" t="e">
        <f>#REF!*#REF!+'Vstupy emisie'!J14</f>
        <v>#REF!</v>
      </c>
      <c r="K32" s="17" t="e">
        <f>#REF!*#REF!+'Vstupy emisie'!K14</f>
        <v>#REF!</v>
      </c>
      <c r="L32" s="17" t="e">
        <f>#REF!*#REF!+'Vstupy emisie'!L14</f>
        <v>#REF!</v>
      </c>
      <c r="M32" s="17" t="e">
        <f>#REF!*#REF!+'Vstupy emisie'!M14</f>
        <v>#REF!</v>
      </c>
      <c r="N32" s="17" t="e">
        <f>#REF!*#REF!+'Vstupy emisie'!N14</f>
        <v>#REF!</v>
      </c>
      <c r="O32" s="17" t="e">
        <f>#REF!*#REF!+'Vstupy emisie'!O14</f>
        <v>#REF!</v>
      </c>
      <c r="P32" s="17" t="e">
        <f>#REF!*#REF!+'Vstupy emisie'!P14</f>
        <v>#REF!</v>
      </c>
      <c r="Q32" s="17" t="e">
        <f>#REF!*#REF!+'Vstupy emisie'!Q14</f>
        <v>#REF!</v>
      </c>
      <c r="R32" s="17" t="e">
        <f>#REF!*#REF!+'Vstupy emisie'!R14</f>
        <v>#REF!</v>
      </c>
      <c r="S32" s="17" t="e">
        <f>#REF!*#REF!+'Vstupy emisie'!S14</f>
        <v>#REF!</v>
      </c>
      <c r="T32" s="17" t="e">
        <f>#REF!*#REF!+'Vstupy emisie'!T14</f>
        <v>#REF!</v>
      </c>
      <c r="U32" s="17" t="e">
        <f>#REF!*#REF!+'Vstupy emisie'!U14</f>
        <v>#REF!</v>
      </c>
      <c r="V32" s="17" t="e">
        <f>#REF!*#REF!+'Vstupy emisie'!V14</f>
        <v>#REF!</v>
      </c>
      <c r="W32" s="17" t="e">
        <f>#REF!*#REF!+'Vstupy emisie'!W14</f>
        <v>#REF!</v>
      </c>
      <c r="X32" s="17" t="e">
        <f>#REF!*#REF!+'Vstupy emisie'!X14</f>
        <v>#REF!</v>
      </c>
      <c r="Y32" s="17" t="e">
        <f>#REF!*#REF!+'Vstupy emisie'!Y14</f>
        <v>#REF!</v>
      </c>
      <c r="Z32" s="17" t="e">
        <f>#REF!*#REF!+'Vstupy emisie'!Z14</f>
        <v>#REF!</v>
      </c>
      <c r="AA32" s="17" t="e">
        <f>#REF!*#REF!+'Vstupy emisie'!AA14</f>
        <v>#REF!</v>
      </c>
      <c r="AB32" s="17" t="e">
        <f>#REF!*#REF!+'Vstupy emisie'!AB14</f>
        <v>#REF!</v>
      </c>
      <c r="AC32" s="17" t="e">
        <f>#REF!*#REF!+'Vstupy emisie'!AC14</f>
        <v>#REF!</v>
      </c>
      <c r="AD32" s="17" t="e">
        <f>#REF!*#REF!+'Vstupy emisie'!AD14</f>
        <v>#REF!</v>
      </c>
      <c r="AE32" s="17" t="e">
        <f>#REF!*#REF!+'Vstupy emisie'!AE14</f>
        <v>#REF!</v>
      </c>
      <c r="AF32" s="17" t="e">
        <f>#REF!*#REF!+'Vstupy emisie'!AF14</f>
        <v>#REF!</v>
      </c>
      <c r="AG32" s="17" t="e">
        <f>#REF!*#REF!+'Vstupy emisie'!AG14</f>
        <v>#REF!</v>
      </c>
    </row>
    <row r="33" spans="2:33" x14ac:dyDescent="0.3">
      <c r="B33" s="6" t="s">
        <v>68</v>
      </c>
      <c r="C33" s="33" t="e">
        <f>D33+NPV(#REF!,E33:AG33)</f>
        <v>#REF!</v>
      </c>
      <c r="D33" s="17" t="e">
        <f>'04 Prevádzkové príjmy'!D23</f>
        <v>#REF!</v>
      </c>
      <c r="E33" s="17" t="e">
        <f>'04 Prevádzkové príjmy'!E23</f>
        <v>#REF!</v>
      </c>
      <c r="F33" s="17" t="e">
        <f>'04 Prevádzkové príjmy'!F23</f>
        <v>#REF!</v>
      </c>
      <c r="G33" s="17" t="e">
        <f>'04 Prevádzkové príjmy'!G23</f>
        <v>#REF!</v>
      </c>
      <c r="H33" s="17" t="e">
        <f>'04 Prevádzkové príjmy'!H23</f>
        <v>#REF!</v>
      </c>
      <c r="I33" s="17" t="e">
        <f>'04 Prevádzkové príjmy'!I23</f>
        <v>#REF!</v>
      </c>
      <c r="J33" s="17" t="e">
        <f>'04 Prevádzkové príjmy'!J23</f>
        <v>#REF!</v>
      </c>
      <c r="K33" s="17" t="e">
        <f>'04 Prevádzkové príjmy'!K23</f>
        <v>#REF!</v>
      </c>
      <c r="L33" s="17" t="e">
        <f>'04 Prevádzkové príjmy'!L23</f>
        <v>#REF!</v>
      </c>
      <c r="M33" s="17" t="e">
        <f>'04 Prevádzkové príjmy'!M23</f>
        <v>#REF!</v>
      </c>
      <c r="N33" s="17" t="e">
        <f>'04 Prevádzkové príjmy'!N23</f>
        <v>#REF!</v>
      </c>
      <c r="O33" s="17" t="e">
        <f>'04 Prevádzkové príjmy'!O23</f>
        <v>#REF!</v>
      </c>
      <c r="P33" s="17" t="e">
        <f>'04 Prevádzkové príjmy'!P23</f>
        <v>#REF!</v>
      </c>
      <c r="Q33" s="17" t="e">
        <f>'04 Prevádzkové príjmy'!Q23</f>
        <v>#REF!</v>
      </c>
      <c r="R33" s="17" t="e">
        <f>'04 Prevádzkové príjmy'!R23</f>
        <v>#REF!</v>
      </c>
      <c r="S33" s="17" t="e">
        <f>'04 Prevádzkové príjmy'!#REF!</f>
        <v>#REF!</v>
      </c>
      <c r="T33" s="17" t="e">
        <f>'04 Prevádzkové príjmy'!#REF!</f>
        <v>#REF!</v>
      </c>
      <c r="U33" s="17" t="e">
        <f>'04 Prevádzkové príjmy'!#REF!</f>
        <v>#REF!</v>
      </c>
      <c r="V33" s="17" t="e">
        <f>'04 Prevádzkové príjmy'!#REF!</f>
        <v>#REF!</v>
      </c>
      <c r="W33" s="17" t="e">
        <f>'04 Prevádzkové príjmy'!#REF!</f>
        <v>#REF!</v>
      </c>
      <c r="X33" s="17" t="e">
        <f>'04 Prevádzkové príjmy'!#REF!</f>
        <v>#REF!</v>
      </c>
      <c r="Y33" s="17" t="e">
        <f>'04 Prevádzkové príjmy'!#REF!</f>
        <v>#REF!</v>
      </c>
      <c r="Z33" s="17" t="e">
        <f>'04 Prevádzkové príjmy'!#REF!</f>
        <v>#REF!</v>
      </c>
      <c r="AA33" s="17" t="e">
        <f>'04 Prevádzkové príjmy'!#REF!</f>
        <v>#REF!</v>
      </c>
      <c r="AB33" s="17" t="e">
        <f>'04 Prevádzkové príjmy'!#REF!</f>
        <v>#REF!</v>
      </c>
      <c r="AC33" s="17" t="e">
        <f>'04 Prevádzkové príjmy'!#REF!</f>
        <v>#REF!</v>
      </c>
      <c r="AD33" s="17" t="e">
        <f>'04 Prevádzkové príjmy'!#REF!</f>
        <v>#REF!</v>
      </c>
      <c r="AE33" s="17" t="e">
        <f>'04 Prevádzkové príjmy'!#REF!</f>
        <v>#REF!</v>
      </c>
      <c r="AF33" s="17" t="e">
        <f>'04 Prevádzkové príjmy'!#REF!</f>
        <v>#REF!</v>
      </c>
      <c r="AG33" s="17" t="e">
        <f>'04 Prevádzkové príjmy'!#REF!</f>
        <v>#REF!</v>
      </c>
    </row>
    <row r="34" spans="2:33" x14ac:dyDescent="0.3">
      <c r="B34" s="6" t="s">
        <v>45</v>
      </c>
      <c r="C34" s="33" t="e">
        <f>D34+NPV(#REF!,E34:AG34)</f>
        <v>#REF!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34">
        <f>'02 Zostatková hodnota'!G23</f>
        <v>0</v>
      </c>
    </row>
    <row r="35" spans="2:33" x14ac:dyDescent="0.3">
      <c r="B35" s="9" t="s">
        <v>69</v>
      </c>
      <c r="C35" s="26" t="e">
        <f>D35+NPV(#REF!,E35:AG35)</f>
        <v>#REF!</v>
      </c>
      <c r="D35" s="20" t="e">
        <f>SUM(D31:D34)</f>
        <v>#REF!</v>
      </c>
      <c r="E35" s="20" t="e">
        <f t="shared" ref="E35:AG35" si="5">SUM(E31:E34)</f>
        <v>#REF!</v>
      </c>
      <c r="F35" s="20" t="e">
        <f t="shared" si="5"/>
        <v>#REF!</v>
      </c>
      <c r="G35" s="20" t="e">
        <f t="shared" si="5"/>
        <v>#REF!</v>
      </c>
      <c r="H35" s="20" t="e">
        <f t="shared" si="5"/>
        <v>#REF!</v>
      </c>
      <c r="I35" s="20" t="e">
        <f t="shared" si="5"/>
        <v>#REF!</v>
      </c>
      <c r="J35" s="20" t="e">
        <f t="shared" si="5"/>
        <v>#REF!</v>
      </c>
      <c r="K35" s="20" t="e">
        <f t="shared" si="5"/>
        <v>#REF!</v>
      </c>
      <c r="L35" s="20" t="e">
        <f t="shared" si="5"/>
        <v>#REF!</v>
      </c>
      <c r="M35" s="20" t="e">
        <f t="shared" si="5"/>
        <v>#REF!</v>
      </c>
      <c r="N35" s="20" t="e">
        <f t="shared" si="5"/>
        <v>#REF!</v>
      </c>
      <c r="O35" s="20" t="e">
        <f t="shared" si="5"/>
        <v>#REF!</v>
      </c>
      <c r="P35" s="20" t="e">
        <f t="shared" si="5"/>
        <v>#REF!</v>
      </c>
      <c r="Q35" s="20" t="e">
        <f t="shared" si="5"/>
        <v>#REF!</v>
      </c>
      <c r="R35" s="20" t="e">
        <f t="shared" si="5"/>
        <v>#REF!</v>
      </c>
      <c r="S35" s="20" t="e">
        <f t="shared" si="5"/>
        <v>#REF!</v>
      </c>
      <c r="T35" s="20" t="e">
        <f t="shared" si="5"/>
        <v>#REF!</v>
      </c>
      <c r="U35" s="20" t="e">
        <f t="shared" si="5"/>
        <v>#REF!</v>
      </c>
      <c r="V35" s="20" t="e">
        <f t="shared" si="5"/>
        <v>#REF!</v>
      </c>
      <c r="W35" s="20" t="e">
        <f t="shared" si="5"/>
        <v>#REF!</v>
      </c>
      <c r="X35" s="20" t="e">
        <f t="shared" si="5"/>
        <v>#REF!</v>
      </c>
      <c r="Y35" s="20" t="e">
        <f t="shared" si="5"/>
        <v>#REF!</v>
      </c>
      <c r="Z35" s="20" t="e">
        <f t="shared" si="5"/>
        <v>#REF!</v>
      </c>
      <c r="AA35" s="20" t="e">
        <f t="shared" si="5"/>
        <v>#REF!</v>
      </c>
      <c r="AB35" s="20" t="e">
        <f t="shared" si="5"/>
        <v>#REF!</v>
      </c>
      <c r="AC35" s="20" t="e">
        <f t="shared" si="5"/>
        <v>#REF!</v>
      </c>
      <c r="AD35" s="20" t="e">
        <f t="shared" si="5"/>
        <v>#REF!</v>
      </c>
      <c r="AE35" s="20" t="e">
        <f t="shared" si="5"/>
        <v>#REF!</v>
      </c>
      <c r="AF35" s="20" t="e">
        <f t="shared" si="5"/>
        <v>#REF!</v>
      </c>
      <c r="AG35" s="20" t="e">
        <f t="shared" si="5"/>
        <v>#REF!</v>
      </c>
    </row>
    <row r="37" spans="2:33" x14ac:dyDescent="0.3">
      <c r="B37" s="6" t="s">
        <v>75</v>
      </c>
      <c r="C37" s="35" t="e">
        <f>SUM(C31:C34)</f>
        <v>#REF!</v>
      </c>
      <c r="D37" s="6" t="s">
        <v>71</v>
      </c>
    </row>
    <row r="42" spans="2:33" x14ac:dyDescent="0.3">
      <c r="H42" s="17"/>
      <c r="I42" s="17"/>
    </row>
    <row r="43" spans="2:33" x14ac:dyDescent="0.3">
      <c r="I43" s="17"/>
    </row>
    <row r="44" spans="2:33" x14ac:dyDescent="0.3">
      <c r="I44" s="17"/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125"/>
  <sheetViews>
    <sheetView showGridLines="0" topLeftCell="A108" zoomScale="90" zoomScaleNormal="100" workbookViewId="0">
      <selection activeCell="E128" sqref="E128"/>
    </sheetView>
  </sheetViews>
  <sheetFormatPr defaultColWidth="9.109375" defaultRowHeight="13.8" x14ac:dyDescent="0.3"/>
  <cols>
    <col min="1" max="1" width="7.44140625" style="37" customWidth="1"/>
    <col min="2" max="2" width="52" style="37" customWidth="1"/>
    <col min="3" max="3" width="13.77734375" style="37" bestFit="1" customWidth="1"/>
    <col min="4" max="5" width="12" style="37" bestFit="1" customWidth="1"/>
    <col min="6" max="6" width="13.109375" style="37" bestFit="1" customWidth="1"/>
    <col min="7" max="18" width="12" style="37" bestFit="1" customWidth="1"/>
    <col min="19" max="16384" width="9.109375" style="37"/>
  </cols>
  <sheetData>
    <row r="1" spans="1:18" x14ac:dyDescent="0.3">
      <c r="D1" s="37" t="s">
        <v>52</v>
      </c>
    </row>
    <row r="2" spans="1:18" ht="14.4" thickBot="1" x14ac:dyDescent="0.35">
      <c r="A2" s="623"/>
      <c r="B2" s="623"/>
      <c r="C2" s="38"/>
      <c r="D2" s="37">
        <v>1</v>
      </c>
      <c r="E2" s="37">
        <v>2</v>
      </c>
      <c r="F2" s="37">
        <v>3</v>
      </c>
      <c r="G2" s="37">
        <v>4</v>
      </c>
      <c r="H2" s="37">
        <v>5</v>
      </c>
      <c r="I2" s="37">
        <v>6</v>
      </c>
      <c r="J2" s="37">
        <v>7</v>
      </c>
      <c r="K2" s="37">
        <v>8</v>
      </c>
      <c r="L2" s="37">
        <v>9</v>
      </c>
      <c r="M2" s="37">
        <v>10</v>
      </c>
      <c r="N2" s="37">
        <v>11</v>
      </c>
      <c r="O2" s="37">
        <v>12</v>
      </c>
      <c r="P2" s="37">
        <v>13</v>
      </c>
      <c r="Q2" s="37">
        <v>14</v>
      </c>
      <c r="R2" s="37">
        <v>15</v>
      </c>
    </row>
    <row r="3" spans="1:18" s="40" customFormat="1" ht="15.6" x14ac:dyDescent="0.3">
      <c r="A3" s="624" t="s">
        <v>144</v>
      </c>
      <c r="B3" s="414" t="s">
        <v>112</v>
      </c>
      <c r="C3" s="426" t="s">
        <v>33</v>
      </c>
      <c r="D3" s="415">
        <v>2026</v>
      </c>
      <c r="E3" s="415">
        <f>$D$3+D2</f>
        <v>2027</v>
      </c>
      <c r="F3" s="415">
        <f>$D$3+E2</f>
        <v>2028</v>
      </c>
      <c r="G3" s="415">
        <f>$D$3+F2</f>
        <v>2029</v>
      </c>
      <c r="H3" s="415">
        <f t="shared" ref="H3:R3" si="0">$D$3+G2</f>
        <v>2030</v>
      </c>
      <c r="I3" s="415">
        <f t="shared" si="0"/>
        <v>2031</v>
      </c>
      <c r="J3" s="415">
        <f t="shared" si="0"/>
        <v>2032</v>
      </c>
      <c r="K3" s="415">
        <f t="shared" si="0"/>
        <v>2033</v>
      </c>
      <c r="L3" s="415">
        <f t="shared" si="0"/>
        <v>2034</v>
      </c>
      <c r="M3" s="415">
        <f t="shared" si="0"/>
        <v>2035</v>
      </c>
      <c r="N3" s="415">
        <f t="shared" si="0"/>
        <v>2036</v>
      </c>
      <c r="O3" s="415">
        <f t="shared" si="0"/>
        <v>2037</v>
      </c>
      <c r="P3" s="415">
        <f t="shared" si="0"/>
        <v>2038</v>
      </c>
      <c r="Q3" s="415">
        <f t="shared" si="0"/>
        <v>2039</v>
      </c>
      <c r="R3" s="416">
        <f t="shared" si="0"/>
        <v>2040</v>
      </c>
    </row>
    <row r="4" spans="1:18" ht="12.75" customHeight="1" x14ac:dyDescent="0.3">
      <c r="A4" s="620"/>
      <c r="B4" s="418" t="s">
        <v>123</v>
      </c>
      <c r="C4" s="417">
        <f t="shared" ref="C4:C8" si="1">SUM(D4:R4)</f>
        <v>-10412621.569865521</v>
      </c>
      <c r="D4" s="417">
        <f>-Alternatívy!$C$30</f>
        <v>-694174.77132436796</v>
      </c>
      <c r="E4" s="417">
        <f>D4</f>
        <v>-694174.77132436796</v>
      </c>
      <c r="F4" s="417">
        <f t="shared" ref="F4:R7" si="2">E4</f>
        <v>-694174.77132436796</v>
      </c>
      <c r="G4" s="417">
        <f t="shared" si="2"/>
        <v>-694174.77132436796</v>
      </c>
      <c r="H4" s="417">
        <f t="shared" si="2"/>
        <v>-694174.77132436796</v>
      </c>
      <c r="I4" s="417">
        <f t="shared" si="2"/>
        <v>-694174.77132436796</v>
      </c>
      <c r="J4" s="417">
        <f t="shared" si="2"/>
        <v>-694174.77132436796</v>
      </c>
      <c r="K4" s="417">
        <f t="shared" si="2"/>
        <v>-694174.77132436796</v>
      </c>
      <c r="L4" s="417">
        <f t="shared" si="2"/>
        <v>-694174.77132436796</v>
      </c>
      <c r="M4" s="417">
        <f t="shared" si="2"/>
        <v>-694174.77132436796</v>
      </c>
      <c r="N4" s="417">
        <f t="shared" si="2"/>
        <v>-694174.77132436796</v>
      </c>
      <c r="O4" s="417">
        <f t="shared" si="2"/>
        <v>-694174.77132436796</v>
      </c>
      <c r="P4" s="417">
        <f t="shared" si="2"/>
        <v>-694174.77132436796</v>
      </c>
      <c r="Q4" s="417">
        <f t="shared" si="2"/>
        <v>-694174.77132436796</v>
      </c>
      <c r="R4" s="419">
        <f t="shared" si="2"/>
        <v>-694174.77132436796</v>
      </c>
    </row>
    <row r="5" spans="1:18" ht="12.75" customHeight="1" x14ac:dyDescent="0.3">
      <c r="A5" s="620"/>
      <c r="B5" s="418" t="s">
        <v>54</v>
      </c>
      <c r="C5" s="417">
        <f>SUM(D5:R5)</f>
        <v>0</v>
      </c>
      <c r="D5" s="417">
        <f>-Alternatívy!C25</f>
        <v>0</v>
      </c>
      <c r="E5" s="417">
        <f>D5</f>
        <v>0</v>
      </c>
      <c r="F5" s="417">
        <f t="shared" si="2"/>
        <v>0</v>
      </c>
      <c r="G5" s="417">
        <f t="shared" si="2"/>
        <v>0</v>
      </c>
      <c r="H5" s="417">
        <f t="shared" si="2"/>
        <v>0</v>
      </c>
      <c r="I5" s="417">
        <f t="shared" si="2"/>
        <v>0</v>
      </c>
      <c r="J5" s="417">
        <f t="shared" si="2"/>
        <v>0</v>
      </c>
      <c r="K5" s="417">
        <f t="shared" si="2"/>
        <v>0</v>
      </c>
      <c r="L5" s="417">
        <f t="shared" si="2"/>
        <v>0</v>
      </c>
      <c r="M5" s="417">
        <f t="shared" si="2"/>
        <v>0</v>
      </c>
      <c r="N5" s="417">
        <f t="shared" si="2"/>
        <v>0</v>
      </c>
      <c r="O5" s="417">
        <f t="shared" si="2"/>
        <v>0</v>
      </c>
      <c r="P5" s="417">
        <f t="shared" si="2"/>
        <v>0</v>
      </c>
      <c r="Q5" s="417">
        <f t="shared" si="2"/>
        <v>0</v>
      </c>
      <c r="R5" s="419">
        <f t="shared" si="2"/>
        <v>0</v>
      </c>
    </row>
    <row r="6" spans="1:18" ht="12.75" customHeight="1" x14ac:dyDescent="0.3">
      <c r="A6" s="620"/>
      <c r="B6" s="418" t="s">
        <v>124</v>
      </c>
      <c r="C6" s="417">
        <f t="shared" si="1"/>
        <v>-2249310.5950795203</v>
      </c>
      <c r="D6" s="417">
        <f>-Alternatívy!$C$47</f>
        <v>-149954.039671968</v>
      </c>
      <c r="E6" s="417">
        <f>D6</f>
        <v>-149954.039671968</v>
      </c>
      <c r="F6" s="417">
        <f t="shared" si="2"/>
        <v>-149954.039671968</v>
      </c>
      <c r="G6" s="417">
        <f t="shared" si="2"/>
        <v>-149954.039671968</v>
      </c>
      <c r="H6" s="417">
        <f t="shared" si="2"/>
        <v>-149954.039671968</v>
      </c>
      <c r="I6" s="417">
        <f t="shared" si="2"/>
        <v>-149954.039671968</v>
      </c>
      <c r="J6" s="417">
        <f t="shared" si="2"/>
        <v>-149954.039671968</v>
      </c>
      <c r="K6" s="417">
        <f t="shared" si="2"/>
        <v>-149954.039671968</v>
      </c>
      <c r="L6" s="417">
        <f t="shared" si="2"/>
        <v>-149954.039671968</v>
      </c>
      <c r="M6" s="417">
        <f t="shared" si="2"/>
        <v>-149954.039671968</v>
      </c>
      <c r="N6" s="417">
        <f t="shared" si="2"/>
        <v>-149954.039671968</v>
      </c>
      <c r="O6" s="417">
        <f t="shared" si="2"/>
        <v>-149954.039671968</v>
      </c>
      <c r="P6" s="417">
        <f t="shared" si="2"/>
        <v>-149954.039671968</v>
      </c>
      <c r="Q6" s="417">
        <f t="shared" si="2"/>
        <v>-149954.039671968</v>
      </c>
      <c r="R6" s="419">
        <f t="shared" si="2"/>
        <v>-149954.039671968</v>
      </c>
    </row>
    <row r="7" spans="1:18" ht="12.75" customHeight="1" x14ac:dyDescent="0.3">
      <c r="A7" s="620"/>
      <c r="B7" s="418" t="s">
        <v>125</v>
      </c>
      <c r="C7" s="417">
        <f t="shared" si="1"/>
        <v>-3242247.6268799999</v>
      </c>
      <c r="D7" s="417">
        <f>-Alternatívy!$C$37</f>
        <v>-216149.84179199999</v>
      </c>
      <c r="E7" s="417">
        <f>D7</f>
        <v>-216149.84179199999</v>
      </c>
      <c r="F7" s="417">
        <f t="shared" si="2"/>
        <v>-216149.84179199999</v>
      </c>
      <c r="G7" s="417">
        <f t="shared" si="2"/>
        <v>-216149.84179199999</v>
      </c>
      <c r="H7" s="417">
        <f t="shared" si="2"/>
        <v>-216149.84179199999</v>
      </c>
      <c r="I7" s="417">
        <f t="shared" si="2"/>
        <v>-216149.84179199999</v>
      </c>
      <c r="J7" s="417">
        <f t="shared" si="2"/>
        <v>-216149.84179199999</v>
      </c>
      <c r="K7" s="417">
        <f t="shared" si="2"/>
        <v>-216149.84179199999</v>
      </c>
      <c r="L7" s="417">
        <f t="shared" si="2"/>
        <v>-216149.84179199999</v>
      </c>
      <c r="M7" s="417">
        <f t="shared" si="2"/>
        <v>-216149.84179199999</v>
      </c>
      <c r="N7" s="417">
        <f t="shared" si="2"/>
        <v>-216149.84179199999</v>
      </c>
      <c r="O7" s="417">
        <f t="shared" si="2"/>
        <v>-216149.84179199999</v>
      </c>
      <c r="P7" s="417">
        <f t="shared" si="2"/>
        <v>-216149.84179199999</v>
      </c>
      <c r="Q7" s="417">
        <f t="shared" si="2"/>
        <v>-216149.84179199999</v>
      </c>
      <c r="R7" s="419">
        <f t="shared" si="2"/>
        <v>-216149.84179199999</v>
      </c>
    </row>
    <row r="8" spans="1:18" ht="13.5" customHeight="1" x14ac:dyDescent="0.3">
      <c r="A8" s="620"/>
      <c r="B8" s="420" t="s">
        <v>212</v>
      </c>
      <c r="C8" s="440">
        <f t="shared" si="1"/>
        <v>-15904179.791825034</v>
      </c>
      <c r="D8" s="440">
        <f t="shared" ref="D8:R8" si="3">SUM(D4:D7)</f>
        <v>-1060278.6527883359</v>
      </c>
      <c r="E8" s="440">
        <f t="shared" si="3"/>
        <v>-1060278.6527883359</v>
      </c>
      <c r="F8" s="440">
        <f t="shared" si="3"/>
        <v>-1060278.6527883359</v>
      </c>
      <c r="G8" s="440">
        <f t="shared" si="3"/>
        <v>-1060278.6527883359</v>
      </c>
      <c r="H8" s="440">
        <f t="shared" si="3"/>
        <v>-1060278.6527883359</v>
      </c>
      <c r="I8" s="440">
        <f t="shared" si="3"/>
        <v>-1060278.6527883359</v>
      </c>
      <c r="J8" s="440">
        <f t="shared" si="3"/>
        <v>-1060278.6527883359</v>
      </c>
      <c r="K8" s="440">
        <f t="shared" si="3"/>
        <v>-1060278.6527883359</v>
      </c>
      <c r="L8" s="440">
        <f t="shared" si="3"/>
        <v>-1060278.6527883359</v>
      </c>
      <c r="M8" s="440">
        <f t="shared" si="3"/>
        <v>-1060278.6527883359</v>
      </c>
      <c r="N8" s="440">
        <f t="shared" si="3"/>
        <v>-1060278.6527883359</v>
      </c>
      <c r="O8" s="440">
        <f t="shared" si="3"/>
        <v>-1060278.6527883359</v>
      </c>
      <c r="P8" s="440">
        <f t="shared" si="3"/>
        <v>-1060278.6527883359</v>
      </c>
      <c r="Q8" s="440">
        <f t="shared" si="3"/>
        <v>-1060278.6527883359</v>
      </c>
      <c r="R8" s="441">
        <f t="shared" si="3"/>
        <v>-1060278.6527883359</v>
      </c>
    </row>
    <row r="9" spans="1:18" ht="13.5" customHeight="1" x14ac:dyDescent="0.3">
      <c r="A9" s="620"/>
      <c r="B9" s="394"/>
      <c r="C9" s="442"/>
      <c r="D9" s="442"/>
      <c r="E9" s="442"/>
      <c r="F9" s="442"/>
      <c r="G9" s="442"/>
      <c r="H9" s="442"/>
      <c r="I9" s="442"/>
      <c r="J9" s="442"/>
      <c r="K9" s="442"/>
      <c r="L9" s="442"/>
      <c r="M9" s="442"/>
      <c r="N9" s="442"/>
      <c r="O9" s="442"/>
      <c r="P9" s="442"/>
      <c r="Q9" s="442"/>
      <c r="R9" s="443"/>
    </row>
    <row r="10" spans="1:18" ht="13.5" customHeight="1" x14ac:dyDescent="0.3">
      <c r="A10" s="620"/>
      <c r="B10" s="418" t="s">
        <v>271</v>
      </c>
      <c r="C10" s="417">
        <f>SUM(D10:R10)</f>
        <v>-3000000</v>
      </c>
      <c r="D10" s="417">
        <f>-'Status po prestahovaní'!$C$4</f>
        <v>-200000</v>
      </c>
      <c r="E10" s="417">
        <f>-'Status po prestahovaní'!$C$4</f>
        <v>-200000</v>
      </c>
      <c r="F10" s="417">
        <f>-'Status po prestahovaní'!$C$4</f>
        <v>-200000</v>
      </c>
      <c r="G10" s="417">
        <f>-'Status po prestahovaní'!$C$4</f>
        <v>-200000</v>
      </c>
      <c r="H10" s="417">
        <f>-'Status po prestahovaní'!$C$4</f>
        <v>-200000</v>
      </c>
      <c r="I10" s="417">
        <f>-'Status po prestahovaní'!$C$4</f>
        <v>-200000</v>
      </c>
      <c r="J10" s="417">
        <f>-'Status po prestahovaní'!$C$4</f>
        <v>-200000</v>
      </c>
      <c r="K10" s="417">
        <f>-'Status po prestahovaní'!$C$4</f>
        <v>-200000</v>
      </c>
      <c r="L10" s="417">
        <f>-'Status po prestahovaní'!$C$4</f>
        <v>-200000</v>
      </c>
      <c r="M10" s="417">
        <f>-'Status po prestahovaní'!$C$4</f>
        <v>-200000</v>
      </c>
      <c r="N10" s="417">
        <f>-'Status po prestahovaní'!$C$4</f>
        <v>-200000</v>
      </c>
      <c r="O10" s="417">
        <f>-'Status po prestahovaní'!$C$4</f>
        <v>-200000</v>
      </c>
      <c r="P10" s="417">
        <f>-'Status po prestahovaní'!$C$4</f>
        <v>-200000</v>
      </c>
      <c r="Q10" s="417">
        <f>-'Status po prestahovaní'!$C$4</f>
        <v>-200000</v>
      </c>
      <c r="R10" s="419">
        <f>-'Status po prestahovaní'!$C$4</f>
        <v>-200000</v>
      </c>
    </row>
    <row r="11" spans="1:18" ht="13.5" customHeight="1" thickBot="1" x14ac:dyDescent="0.35">
      <c r="A11" s="620"/>
      <c r="B11" s="405"/>
      <c r="C11" s="444"/>
      <c r="D11" s="444"/>
      <c r="E11" s="444"/>
      <c r="F11" s="444"/>
      <c r="G11" s="444"/>
      <c r="H11" s="444"/>
      <c r="I11" s="444"/>
      <c r="J11" s="444"/>
      <c r="K11" s="444"/>
      <c r="L11" s="444"/>
      <c r="M11" s="444"/>
      <c r="N11" s="444"/>
      <c r="O11" s="444"/>
      <c r="P11" s="444"/>
      <c r="Q11" s="444"/>
      <c r="R11" s="445"/>
    </row>
    <row r="12" spans="1:18" ht="13.5" customHeight="1" thickBot="1" x14ac:dyDescent="0.35">
      <c r="A12" s="620"/>
      <c r="B12" s="409" t="s">
        <v>274</v>
      </c>
      <c r="C12" s="446">
        <f>SUM(C8:C10)</f>
        <v>-18904179.791825034</v>
      </c>
      <c r="D12" s="446">
        <f t="shared" ref="D12:R12" si="4">SUM(D8:D10)</f>
        <v>-1260278.6527883359</v>
      </c>
      <c r="E12" s="446">
        <f t="shared" si="4"/>
        <v>-1260278.6527883359</v>
      </c>
      <c r="F12" s="446">
        <f t="shared" si="4"/>
        <v>-1260278.6527883359</v>
      </c>
      <c r="G12" s="446">
        <f t="shared" si="4"/>
        <v>-1260278.6527883359</v>
      </c>
      <c r="H12" s="446">
        <f t="shared" si="4"/>
        <v>-1260278.6527883359</v>
      </c>
      <c r="I12" s="446">
        <f t="shared" si="4"/>
        <v>-1260278.6527883359</v>
      </c>
      <c r="J12" s="446">
        <f t="shared" si="4"/>
        <v>-1260278.6527883359</v>
      </c>
      <c r="K12" s="446">
        <f t="shared" si="4"/>
        <v>-1260278.6527883359</v>
      </c>
      <c r="L12" s="446">
        <f t="shared" si="4"/>
        <v>-1260278.6527883359</v>
      </c>
      <c r="M12" s="446">
        <f t="shared" si="4"/>
        <v>-1260278.6527883359</v>
      </c>
      <c r="N12" s="446">
        <f t="shared" si="4"/>
        <v>-1260278.6527883359</v>
      </c>
      <c r="O12" s="446">
        <f t="shared" si="4"/>
        <v>-1260278.6527883359</v>
      </c>
      <c r="P12" s="446">
        <f t="shared" si="4"/>
        <v>-1260278.6527883359</v>
      </c>
      <c r="Q12" s="446">
        <f t="shared" si="4"/>
        <v>-1260278.6527883359</v>
      </c>
      <c r="R12" s="447">
        <f t="shared" si="4"/>
        <v>-1260278.6527883359</v>
      </c>
    </row>
    <row r="13" spans="1:18" ht="13.5" customHeight="1" x14ac:dyDescent="0.3">
      <c r="A13" s="620"/>
      <c r="B13" s="410"/>
      <c r="C13" s="411"/>
      <c r="D13" s="411"/>
      <c r="E13" s="411"/>
      <c r="F13" s="411"/>
      <c r="G13" s="411"/>
      <c r="H13" s="411"/>
      <c r="I13" s="411"/>
      <c r="J13" s="411"/>
      <c r="K13" s="411"/>
      <c r="L13" s="411"/>
      <c r="M13" s="411"/>
      <c r="N13" s="411"/>
      <c r="O13" s="411"/>
      <c r="P13" s="411"/>
      <c r="Q13" s="411"/>
      <c r="R13" s="412"/>
    </row>
    <row r="14" spans="1:18" ht="13.5" customHeight="1" thickBot="1" x14ac:dyDescent="0.35">
      <c r="A14" s="620"/>
      <c r="B14" s="374"/>
      <c r="C14" s="375"/>
      <c r="D14" s="376">
        <v>1</v>
      </c>
      <c r="E14" s="376">
        <v>2</v>
      </c>
      <c r="F14" s="376">
        <v>3</v>
      </c>
      <c r="G14" s="376">
        <v>4</v>
      </c>
      <c r="H14" s="376">
        <v>5</v>
      </c>
      <c r="I14" s="376">
        <v>6</v>
      </c>
      <c r="J14" s="376">
        <v>7</v>
      </c>
      <c r="K14" s="376">
        <v>8</v>
      </c>
      <c r="L14" s="376">
        <v>9</v>
      </c>
      <c r="M14" s="376">
        <v>10</v>
      </c>
      <c r="N14" s="376">
        <v>11</v>
      </c>
      <c r="O14" s="376">
        <v>12</v>
      </c>
      <c r="P14" s="376">
        <v>13</v>
      </c>
      <c r="Q14" s="376">
        <v>14</v>
      </c>
      <c r="R14" s="377">
        <v>15</v>
      </c>
    </row>
    <row r="15" spans="1:18" s="40" customFormat="1" ht="15.6" x14ac:dyDescent="0.3">
      <c r="A15" s="620"/>
      <c r="B15" s="378" t="s">
        <v>113</v>
      </c>
      <c r="C15" s="425" t="s">
        <v>33</v>
      </c>
      <c r="D15" s="379">
        <f>D3</f>
        <v>2026</v>
      </c>
      <c r="E15" s="379">
        <f>$D$3+D14</f>
        <v>2027</v>
      </c>
      <c r="F15" s="379">
        <f>$D$3+E14</f>
        <v>2028</v>
      </c>
      <c r="G15" s="379">
        <f>$D$3+F14</f>
        <v>2029</v>
      </c>
      <c r="H15" s="379">
        <f t="shared" ref="H15:R15" si="5">$D$3+G14</f>
        <v>2030</v>
      </c>
      <c r="I15" s="379">
        <f t="shared" si="5"/>
        <v>2031</v>
      </c>
      <c r="J15" s="379">
        <f t="shared" si="5"/>
        <v>2032</v>
      </c>
      <c r="K15" s="379">
        <f t="shared" si="5"/>
        <v>2033</v>
      </c>
      <c r="L15" s="379">
        <f t="shared" si="5"/>
        <v>2034</v>
      </c>
      <c r="M15" s="379">
        <f t="shared" si="5"/>
        <v>2035</v>
      </c>
      <c r="N15" s="379">
        <f t="shared" si="5"/>
        <v>2036</v>
      </c>
      <c r="O15" s="379">
        <f t="shared" si="5"/>
        <v>2037</v>
      </c>
      <c r="P15" s="379">
        <f t="shared" si="5"/>
        <v>2038</v>
      </c>
      <c r="Q15" s="379">
        <f t="shared" si="5"/>
        <v>2039</v>
      </c>
      <c r="R15" s="380">
        <f t="shared" si="5"/>
        <v>2040</v>
      </c>
    </row>
    <row r="16" spans="1:18" ht="12.75" customHeight="1" x14ac:dyDescent="0.3">
      <c r="A16" s="620"/>
      <c r="B16" s="381" t="s">
        <v>127</v>
      </c>
      <c r="C16" s="373">
        <f t="shared" ref="C16:C22" si="6">SUM(D16:R16)</f>
        <v>-27427993.199999988</v>
      </c>
      <c r="D16" s="373">
        <f>-Alternatívy!$C$65</f>
        <v>-1828532.88</v>
      </c>
      <c r="E16" s="373">
        <f t="shared" ref="E16:R21" si="7">D16</f>
        <v>-1828532.88</v>
      </c>
      <c r="F16" s="373">
        <f t="shared" si="7"/>
        <v>-1828532.88</v>
      </c>
      <c r="G16" s="373">
        <f t="shared" si="7"/>
        <v>-1828532.88</v>
      </c>
      <c r="H16" s="373">
        <f t="shared" si="7"/>
        <v>-1828532.88</v>
      </c>
      <c r="I16" s="373">
        <f t="shared" si="7"/>
        <v>-1828532.88</v>
      </c>
      <c r="J16" s="373">
        <f t="shared" si="7"/>
        <v>-1828532.88</v>
      </c>
      <c r="K16" s="373">
        <f t="shared" si="7"/>
        <v>-1828532.88</v>
      </c>
      <c r="L16" s="373">
        <f t="shared" si="7"/>
        <v>-1828532.88</v>
      </c>
      <c r="M16" s="373">
        <f t="shared" si="7"/>
        <v>-1828532.88</v>
      </c>
      <c r="N16" s="373">
        <f t="shared" si="7"/>
        <v>-1828532.88</v>
      </c>
      <c r="O16" s="373">
        <f t="shared" si="7"/>
        <v>-1828532.88</v>
      </c>
      <c r="P16" s="373">
        <f t="shared" si="7"/>
        <v>-1828532.88</v>
      </c>
      <c r="Q16" s="373">
        <f t="shared" si="7"/>
        <v>-1828532.88</v>
      </c>
      <c r="R16" s="382">
        <f t="shared" si="7"/>
        <v>-1828532.88</v>
      </c>
    </row>
    <row r="17" spans="1:19" ht="12.75" customHeight="1" x14ac:dyDescent="0.3">
      <c r="A17" s="620"/>
      <c r="B17" s="381" t="s">
        <v>54</v>
      </c>
      <c r="C17" s="373">
        <f t="shared" si="6"/>
        <v>0</v>
      </c>
      <c r="D17" s="373">
        <f>-Alternatívy!C70</f>
        <v>0</v>
      </c>
      <c r="E17" s="373">
        <f t="shared" si="7"/>
        <v>0</v>
      </c>
      <c r="F17" s="373">
        <f t="shared" si="7"/>
        <v>0</v>
      </c>
      <c r="G17" s="373">
        <f t="shared" si="7"/>
        <v>0</v>
      </c>
      <c r="H17" s="373">
        <f t="shared" si="7"/>
        <v>0</v>
      </c>
      <c r="I17" s="373">
        <f t="shared" si="7"/>
        <v>0</v>
      </c>
      <c r="J17" s="373">
        <f t="shared" si="7"/>
        <v>0</v>
      </c>
      <c r="K17" s="373">
        <f t="shared" si="7"/>
        <v>0</v>
      </c>
      <c r="L17" s="373">
        <f t="shared" si="7"/>
        <v>0</v>
      </c>
      <c r="M17" s="373">
        <f t="shared" si="7"/>
        <v>0</v>
      </c>
      <c r="N17" s="373">
        <f t="shared" si="7"/>
        <v>0</v>
      </c>
      <c r="O17" s="373">
        <f t="shared" si="7"/>
        <v>0</v>
      </c>
      <c r="P17" s="373">
        <f t="shared" si="7"/>
        <v>0</v>
      </c>
      <c r="Q17" s="373">
        <f t="shared" si="7"/>
        <v>0</v>
      </c>
      <c r="R17" s="382">
        <f t="shared" si="7"/>
        <v>0</v>
      </c>
    </row>
    <row r="18" spans="1:19" ht="12.75" customHeight="1" x14ac:dyDescent="0.3">
      <c r="A18" s="620"/>
      <c r="B18" s="381" t="s">
        <v>129</v>
      </c>
      <c r="C18" s="373">
        <f t="shared" si="6"/>
        <v>-3908976.3810000005</v>
      </c>
      <c r="D18" s="373">
        <f>-Alternatívy!$C$85</f>
        <v>-260598.42540000001</v>
      </c>
      <c r="E18" s="373">
        <f t="shared" si="7"/>
        <v>-260598.42540000001</v>
      </c>
      <c r="F18" s="373">
        <f t="shared" si="7"/>
        <v>-260598.42540000001</v>
      </c>
      <c r="G18" s="373">
        <f t="shared" si="7"/>
        <v>-260598.42540000001</v>
      </c>
      <c r="H18" s="373">
        <f t="shared" si="7"/>
        <v>-260598.42540000001</v>
      </c>
      <c r="I18" s="373">
        <f t="shared" si="7"/>
        <v>-260598.42540000001</v>
      </c>
      <c r="J18" s="373">
        <f t="shared" si="7"/>
        <v>-260598.42540000001</v>
      </c>
      <c r="K18" s="373">
        <f t="shared" si="7"/>
        <v>-260598.42540000001</v>
      </c>
      <c r="L18" s="373">
        <f t="shared" si="7"/>
        <v>-260598.42540000001</v>
      </c>
      <c r="M18" s="373">
        <f t="shared" si="7"/>
        <v>-260598.42540000001</v>
      </c>
      <c r="N18" s="373">
        <f t="shared" si="7"/>
        <v>-260598.42540000001</v>
      </c>
      <c r="O18" s="373">
        <f t="shared" si="7"/>
        <v>-260598.42540000001</v>
      </c>
      <c r="P18" s="373">
        <f t="shared" si="7"/>
        <v>-260598.42540000001</v>
      </c>
      <c r="Q18" s="373">
        <f t="shared" si="7"/>
        <v>-260598.42540000001</v>
      </c>
      <c r="R18" s="382">
        <f t="shared" si="7"/>
        <v>-260598.42540000001</v>
      </c>
    </row>
    <row r="19" spans="1:19" ht="12.75" customHeight="1" x14ac:dyDescent="0.3">
      <c r="A19" s="620"/>
      <c r="B19" s="381" t="s">
        <v>130</v>
      </c>
      <c r="C19" s="373">
        <f t="shared" si="6"/>
        <v>-1894183.1999999993</v>
      </c>
      <c r="D19" s="373">
        <f>-Alternatívy!C75</f>
        <v>-126278.88</v>
      </c>
      <c r="E19" s="373">
        <f t="shared" si="7"/>
        <v>-126278.88</v>
      </c>
      <c r="F19" s="373">
        <f t="shared" si="7"/>
        <v>-126278.88</v>
      </c>
      <c r="G19" s="373">
        <f t="shared" si="7"/>
        <v>-126278.88</v>
      </c>
      <c r="H19" s="373">
        <f t="shared" si="7"/>
        <v>-126278.88</v>
      </c>
      <c r="I19" s="373">
        <f t="shared" si="7"/>
        <v>-126278.88</v>
      </c>
      <c r="J19" s="373">
        <f t="shared" si="7"/>
        <v>-126278.88</v>
      </c>
      <c r="K19" s="373">
        <f t="shared" si="7"/>
        <v>-126278.88</v>
      </c>
      <c r="L19" s="373">
        <f t="shared" si="7"/>
        <v>-126278.88</v>
      </c>
      <c r="M19" s="373">
        <f t="shared" si="7"/>
        <v>-126278.88</v>
      </c>
      <c r="N19" s="373">
        <f t="shared" si="7"/>
        <v>-126278.88</v>
      </c>
      <c r="O19" s="373">
        <f t="shared" si="7"/>
        <v>-126278.88</v>
      </c>
      <c r="P19" s="373">
        <f t="shared" si="7"/>
        <v>-126278.88</v>
      </c>
      <c r="Q19" s="373">
        <f t="shared" si="7"/>
        <v>-126278.88</v>
      </c>
      <c r="R19" s="382">
        <f t="shared" si="7"/>
        <v>-126278.88</v>
      </c>
    </row>
    <row r="20" spans="1:19" ht="12.75" customHeight="1" x14ac:dyDescent="0.3">
      <c r="A20" s="620"/>
      <c r="B20" s="381" t="s">
        <v>131</v>
      </c>
      <c r="C20" s="373">
        <f t="shared" si="6"/>
        <v>-3861823.3868999984</v>
      </c>
      <c r="D20" s="373">
        <f>-Alternatívy!$C$102</f>
        <v>-257454.89246</v>
      </c>
      <c r="E20" s="373">
        <f t="shared" si="7"/>
        <v>-257454.89246</v>
      </c>
      <c r="F20" s="373">
        <f t="shared" si="7"/>
        <v>-257454.89246</v>
      </c>
      <c r="G20" s="373">
        <f t="shared" si="7"/>
        <v>-257454.89246</v>
      </c>
      <c r="H20" s="373">
        <f t="shared" si="7"/>
        <v>-257454.89246</v>
      </c>
      <c r="I20" s="373">
        <f t="shared" si="7"/>
        <v>-257454.89246</v>
      </c>
      <c r="J20" s="373">
        <f t="shared" si="7"/>
        <v>-257454.89246</v>
      </c>
      <c r="K20" s="373">
        <f t="shared" si="7"/>
        <v>-257454.89246</v>
      </c>
      <c r="L20" s="373">
        <f t="shared" si="7"/>
        <v>-257454.89246</v>
      </c>
      <c r="M20" s="373">
        <f t="shared" si="7"/>
        <v>-257454.89246</v>
      </c>
      <c r="N20" s="373">
        <f t="shared" si="7"/>
        <v>-257454.89246</v>
      </c>
      <c r="O20" s="373">
        <f t="shared" si="7"/>
        <v>-257454.89246</v>
      </c>
      <c r="P20" s="373">
        <f t="shared" si="7"/>
        <v>-257454.89246</v>
      </c>
      <c r="Q20" s="373">
        <f t="shared" si="7"/>
        <v>-257454.89246</v>
      </c>
      <c r="R20" s="382">
        <f t="shared" si="7"/>
        <v>-257454.89246</v>
      </c>
    </row>
    <row r="21" spans="1:19" ht="12.75" customHeight="1" x14ac:dyDescent="0.3">
      <c r="A21" s="620"/>
      <c r="B21" s="381" t="s">
        <v>132</v>
      </c>
      <c r="C21" s="373">
        <f t="shared" si="6"/>
        <v>-1328406.9093000002</v>
      </c>
      <c r="D21" s="373">
        <f>-Alternatívy!$C$92</f>
        <v>-88560.460620000013</v>
      </c>
      <c r="E21" s="373">
        <f t="shared" si="7"/>
        <v>-88560.460620000013</v>
      </c>
      <c r="F21" s="373">
        <f t="shared" si="7"/>
        <v>-88560.460620000013</v>
      </c>
      <c r="G21" s="373">
        <f t="shared" si="7"/>
        <v>-88560.460620000013</v>
      </c>
      <c r="H21" s="373">
        <f t="shared" si="7"/>
        <v>-88560.460620000013</v>
      </c>
      <c r="I21" s="373">
        <f t="shared" si="7"/>
        <v>-88560.460620000013</v>
      </c>
      <c r="J21" s="373">
        <f t="shared" si="7"/>
        <v>-88560.460620000013</v>
      </c>
      <c r="K21" s="373">
        <f t="shared" si="7"/>
        <v>-88560.460620000013</v>
      </c>
      <c r="L21" s="373">
        <f t="shared" si="7"/>
        <v>-88560.460620000013</v>
      </c>
      <c r="M21" s="373">
        <f t="shared" si="7"/>
        <v>-88560.460620000013</v>
      </c>
      <c r="N21" s="373">
        <f t="shared" si="7"/>
        <v>-88560.460620000013</v>
      </c>
      <c r="O21" s="373">
        <f t="shared" si="7"/>
        <v>-88560.460620000013</v>
      </c>
      <c r="P21" s="373">
        <f t="shared" si="7"/>
        <v>-88560.460620000013</v>
      </c>
      <c r="Q21" s="373">
        <f t="shared" si="7"/>
        <v>-88560.460620000013</v>
      </c>
      <c r="R21" s="382">
        <f t="shared" si="7"/>
        <v>-88560.460620000013</v>
      </c>
    </row>
    <row r="22" spans="1:19" ht="13.5" customHeight="1" x14ac:dyDescent="0.3">
      <c r="A22" s="620"/>
      <c r="B22" s="383" t="s">
        <v>212</v>
      </c>
      <c r="C22" s="428">
        <f t="shared" si="6"/>
        <v>-38421383.077199988</v>
      </c>
      <c r="D22" s="428">
        <f t="shared" ref="D22:R22" si="8">SUM(D16:D21)</f>
        <v>-2561425.5384799996</v>
      </c>
      <c r="E22" s="428">
        <f t="shared" si="8"/>
        <v>-2561425.5384799996</v>
      </c>
      <c r="F22" s="428">
        <f t="shared" si="8"/>
        <v>-2561425.5384799996</v>
      </c>
      <c r="G22" s="428">
        <f t="shared" si="8"/>
        <v>-2561425.5384799996</v>
      </c>
      <c r="H22" s="428">
        <f t="shared" si="8"/>
        <v>-2561425.5384799996</v>
      </c>
      <c r="I22" s="428">
        <f t="shared" si="8"/>
        <v>-2561425.5384799996</v>
      </c>
      <c r="J22" s="428">
        <f t="shared" si="8"/>
        <v>-2561425.5384799996</v>
      </c>
      <c r="K22" s="428">
        <f t="shared" si="8"/>
        <v>-2561425.5384799996</v>
      </c>
      <c r="L22" s="428">
        <f t="shared" si="8"/>
        <v>-2561425.5384799996</v>
      </c>
      <c r="M22" s="428">
        <f t="shared" si="8"/>
        <v>-2561425.5384799996</v>
      </c>
      <c r="N22" s="428">
        <f t="shared" si="8"/>
        <v>-2561425.5384799996</v>
      </c>
      <c r="O22" s="428">
        <f t="shared" si="8"/>
        <v>-2561425.5384799996</v>
      </c>
      <c r="P22" s="428">
        <f t="shared" si="8"/>
        <v>-2561425.5384799996</v>
      </c>
      <c r="Q22" s="428">
        <f t="shared" si="8"/>
        <v>-2561425.5384799996</v>
      </c>
      <c r="R22" s="429">
        <f t="shared" si="8"/>
        <v>-2561425.5384799996</v>
      </c>
    </row>
    <row r="23" spans="1:19" ht="13.5" customHeight="1" x14ac:dyDescent="0.3">
      <c r="A23" s="620"/>
      <c r="B23" s="381"/>
      <c r="C23" s="373"/>
      <c r="D23" s="373"/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82"/>
    </row>
    <row r="24" spans="1:19" ht="13.5" customHeight="1" x14ac:dyDescent="0.3">
      <c r="A24" s="620"/>
      <c r="B24" s="381" t="s">
        <v>272</v>
      </c>
      <c r="C24" s="373">
        <f>SUM(D24:R24)</f>
        <v>-4335750</v>
      </c>
      <c r="D24" s="373">
        <f>-'Status po prestahovaní'!$C$29</f>
        <v>-289050</v>
      </c>
      <c r="E24" s="373">
        <f>-'Status po prestahovaní'!$C$29</f>
        <v>-289050</v>
      </c>
      <c r="F24" s="373">
        <f>-'Status po prestahovaní'!$C$29</f>
        <v>-289050</v>
      </c>
      <c r="G24" s="373">
        <f>-'Status po prestahovaní'!$C$29</f>
        <v>-289050</v>
      </c>
      <c r="H24" s="373">
        <f>-'Status po prestahovaní'!$C$29</f>
        <v>-289050</v>
      </c>
      <c r="I24" s="373">
        <f>-'Status po prestahovaní'!$C$29</f>
        <v>-289050</v>
      </c>
      <c r="J24" s="373">
        <f>-'Status po prestahovaní'!$C$29</f>
        <v>-289050</v>
      </c>
      <c r="K24" s="373">
        <f>-'Status po prestahovaní'!$C$29</f>
        <v>-289050</v>
      </c>
      <c r="L24" s="373">
        <f>-'Status po prestahovaní'!$C$29</f>
        <v>-289050</v>
      </c>
      <c r="M24" s="373">
        <f>-'Status po prestahovaní'!$C$29</f>
        <v>-289050</v>
      </c>
      <c r="N24" s="373">
        <f>-'Status po prestahovaní'!$C$29</f>
        <v>-289050</v>
      </c>
      <c r="O24" s="373">
        <f>-'Status po prestahovaní'!$C$29</f>
        <v>-289050</v>
      </c>
      <c r="P24" s="373">
        <f>-'Status po prestahovaní'!$C$29</f>
        <v>-289050</v>
      </c>
      <c r="Q24" s="373">
        <f>-'Status po prestahovaní'!$C$29</f>
        <v>-289050</v>
      </c>
      <c r="R24" s="382">
        <f>-'Status po prestahovaní'!$C$29</f>
        <v>-289050</v>
      </c>
      <c r="S24" s="371"/>
    </row>
    <row r="25" spans="1:19" ht="13.5" customHeight="1" x14ac:dyDescent="0.3">
      <c r="A25" s="620"/>
      <c r="B25" s="381" t="s">
        <v>273</v>
      </c>
      <c r="C25" s="373">
        <f>SUM(D25:R25)</f>
        <v>-3597750</v>
      </c>
      <c r="D25" s="373">
        <f>-'Status po prestahovaní'!$C$30</f>
        <v>-239850</v>
      </c>
      <c r="E25" s="373">
        <f>-'Status po prestahovaní'!$C$30</f>
        <v>-239850</v>
      </c>
      <c r="F25" s="373">
        <f>-'Status po prestahovaní'!$C$30</f>
        <v>-239850</v>
      </c>
      <c r="G25" s="373">
        <f>-'Status po prestahovaní'!$C$30</f>
        <v>-239850</v>
      </c>
      <c r="H25" s="373">
        <f>-'Status po prestahovaní'!$C$30</f>
        <v>-239850</v>
      </c>
      <c r="I25" s="373">
        <f>-'Status po prestahovaní'!$C$30</f>
        <v>-239850</v>
      </c>
      <c r="J25" s="373">
        <f>-'Status po prestahovaní'!$C$30</f>
        <v>-239850</v>
      </c>
      <c r="K25" s="373">
        <f>-'Status po prestahovaní'!$C$30</f>
        <v>-239850</v>
      </c>
      <c r="L25" s="373">
        <f>-'Status po prestahovaní'!$C$30</f>
        <v>-239850</v>
      </c>
      <c r="M25" s="373">
        <f>-'Status po prestahovaní'!$C$30</f>
        <v>-239850</v>
      </c>
      <c r="N25" s="373">
        <f>-'Status po prestahovaní'!$C$30</f>
        <v>-239850</v>
      </c>
      <c r="O25" s="373">
        <f>-'Status po prestahovaní'!$C$30</f>
        <v>-239850</v>
      </c>
      <c r="P25" s="373">
        <f>-'Status po prestahovaní'!$C$30</f>
        <v>-239850</v>
      </c>
      <c r="Q25" s="373">
        <f>-'Status po prestahovaní'!$C$30</f>
        <v>-239850</v>
      </c>
      <c r="R25" s="382">
        <f>-'Status po prestahovaní'!$C$30</f>
        <v>-239850</v>
      </c>
      <c r="S25" s="371"/>
    </row>
    <row r="26" spans="1:19" ht="13.5" customHeight="1" thickBot="1" x14ac:dyDescent="0.35">
      <c r="A26" s="620"/>
      <c r="B26" s="406"/>
      <c r="C26" s="407"/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8"/>
      <c r="S26" s="371"/>
    </row>
    <row r="27" spans="1:19" ht="13.5" customHeight="1" thickBot="1" x14ac:dyDescent="0.35">
      <c r="A27" s="620"/>
      <c r="B27" s="395" t="s">
        <v>274</v>
      </c>
      <c r="C27" s="396">
        <f>SUM(C22:C25)</f>
        <v>-46354883.077199988</v>
      </c>
      <c r="D27" s="396">
        <f t="shared" ref="D27:R27" si="9">SUM(D22:D25)</f>
        <v>-3090325.5384799996</v>
      </c>
      <c r="E27" s="396">
        <f t="shared" si="9"/>
        <v>-3090325.5384799996</v>
      </c>
      <c r="F27" s="396">
        <f t="shared" si="9"/>
        <v>-3090325.5384799996</v>
      </c>
      <c r="G27" s="396">
        <f t="shared" si="9"/>
        <v>-3090325.5384799996</v>
      </c>
      <c r="H27" s="396">
        <f t="shared" si="9"/>
        <v>-3090325.5384799996</v>
      </c>
      <c r="I27" s="396">
        <f t="shared" si="9"/>
        <v>-3090325.5384799996</v>
      </c>
      <c r="J27" s="396">
        <f t="shared" si="9"/>
        <v>-3090325.5384799996</v>
      </c>
      <c r="K27" s="396">
        <f t="shared" si="9"/>
        <v>-3090325.5384799996</v>
      </c>
      <c r="L27" s="396">
        <f t="shared" si="9"/>
        <v>-3090325.5384799996</v>
      </c>
      <c r="M27" s="396">
        <f t="shared" si="9"/>
        <v>-3090325.5384799996</v>
      </c>
      <c r="N27" s="396">
        <f t="shared" si="9"/>
        <v>-3090325.5384799996</v>
      </c>
      <c r="O27" s="396">
        <f t="shared" si="9"/>
        <v>-3090325.5384799996</v>
      </c>
      <c r="P27" s="396">
        <f t="shared" si="9"/>
        <v>-3090325.5384799996</v>
      </c>
      <c r="Q27" s="396">
        <f t="shared" si="9"/>
        <v>-3090325.5384799996</v>
      </c>
      <c r="R27" s="397">
        <f t="shared" si="9"/>
        <v>-3090325.5384799996</v>
      </c>
      <c r="S27" s="371"/>
    </row>
    <row r="28" spans="1:19" ht="13.5" customHeight="1" x14ac:dyDescent="0.3">
      <c r="A28" s="620"/>
      <c r="B28" s="398"/>
      <c r="C28" s="399"/>
      <c r="D28" s="399"/>
      <c r="E28" s="399"/>
      <c r="F28" s="399"/>
      <c r="G28" s="399"/>
      <c r="H28" s="399"/>
      <c r="I28" s="399"/>
      <c r="J28" s="399"/>
      <c r="K28" s="399"/>
      <c r="L28" s="399"/>
      <c r="M28" s="399"/>
      <c r="N28" s="399"/>
      <c r="O28" s="399"/>
      <c r="P28" s="399"/>
      <c r="Q28" s="399"/>
      <c r="R28" s="400"/>
      <c r="S28" s="372"/>
    </row>
    <row r="29" spans="1:19" ht="13.5" customHeight="1" thickBot="1" x14ac:dyDescent="0.35">
      <c r="A29" s="620"/>
      <c r="B29" s="401"/>
      <c r="C29" s="402"/>
      <c r="D29" s="403">
        <v>1</v>
      </c>
      <c r="E29" s="403">
        <v>2</v>
      </c>
      <c r="F29" s="403">
        <v>3</v>
      </c>
      <c r="G29" s="403">
        <v>4</v>
      </c>
      <c r="H29" s="403">
        <v>5</v>
      </c>
      <c r="I29" s="403">
        <v>6</v>
      </c>
      <c r="J29" s="403">
        <v>7</v>
      </c>
      <c r="K29" s="403">
        <v>8</v>
      </c>
      <c r="L29" s="403">
        <v>9</v>
      </c>
      <c r="M29" s="403">
        <v>10</v>
      </c>
      <c r="N29" s="403">
        <v>11</v>
      </c>
      <c r="O29" s="403">
        <v>12</v>
      </c>
      <c r="P29" s="403">
        <v>13</v>
      </c>
      <c r="Q29" s="403">
        <v>14</v>
      </c>
      <c r="R29" s="404">
        <v>15</v>
      </c>
    </row>
    <row r="30" spans="1:19" ht="14.55" customHeight="1" x14ac:dyDescent="0.3">
      <c r="A30" s="620"/>
      <c r="B30" s="384" t="s">
        <v>202</v>
      </c>
      <c r="C30" s="423" t="s">
        <v>33</v>
      </c>
      <c r="D30" s="385">
        <f>D3</f>
        <v>2026</v>
      </c>
      <c r="E30" s="385">
        <f t="shared" ref="E30:R30" si="10">$D$3+D29</f>
        <v>2027</v>
      </c>
      <c r="F30" s="385">
        <f t="shared" si="10"/>
        <v>2028</v>
      </c>
      <c r="G30" s="385">
        <f t="shared" si="10"/>
        <v>2029</v>
      </c>
      <c r="H30" s="385">
        <f t="shared" si="10"/>
        <v>2030</v>
      </c>
      <c r="I30" s="385">
        <f t="shared" si="10"/>
        <v>2031</v>
      </c>
      <c r="J30" s="385">
        <f t="shared" si="10"/>
        <v>2032</v>
      </c>
      <c r="K30" s="385">
        <f t="shared" si="10"/>
        <v>2033</v>
      </c>
      <c r="L30" s="385">
        <f t="shared" si="10"/>
        <v>2034</v>
      </c>
      <c r="M30" s="385">
        <f t="shared" si="10"/>
        <v>2035</v>
      </c>
      <c r="N30" s="385">
        <f t="shared" si="10"/>
        <v>2036</v>
      </c>
      <c r="O30" s="385">
        <f t="shared" si="10"/>
        <v>2037</v>
      </c>
      <c r="P30" s="385">
        <f t="shared" si="10"/>
        <v>2038</v>
      </c>
      <c r="Q30" s="385">
        <f t="shared" si="10"/>
        <v>2039</v>
      </c>
      <c r="R30" s="386">
        <f t="shared" si="10"/>
        <v>2040</v>
      </c>
    </row>
    <row r="31" spans="1:19" ht="13.5" customHeight="1" x14ac:dyDescent="0.3">
      <c r="A31" s="620"/>
      <c r="B31" s="387" t="s">
        <v>204</v>
      </c>
      <c r="C31" s="430">
        <f t="shared" ref="C31:C36" si="11">SUM(D31:R31)</f>
        <v>-8239293.4319999982</v>
      </c>
      <c r="D31" s="430">
        <f>-Alternatívy!$C$126</f>
        <v>-549286.22880000004</v>
      </c>
      <c r="E31" s="430">
        <f t="shared" ref="E31:R35" si="12">D31</f>
        <v>-549286.22880000004</v>
      </c>
      <c r="F31" s="430">
        <f t="shared" si="12"/>
        <v>-549286.22880000004</v>
      </c>
      <c r="G31" s="430">
        <f t="shared" si="12"/>
        <v>-549286.22880000004</v>
      </c>
      <c r="H31" s="430">
        <f t="shared" si="12"/>
        <v>-549286.22880000004</v>
      </c>
      <c r="I31" s="430">
        <f t="shared" si="12"/>
        <v>-549286.22880000004</v>
      </c>
      <c r="J31" s="430">
        <f t="shared" si="12"/>
        <v>-549286.22880000004</v>
      </c>
      <c r="K31" s="430">
        <f t="shared" si="12"/>
        <v>-549286.22880000004</v>
      </c>
      <c r="L31" s="430">
        <f t="shared" si="12"/>
        <v>-549286.22880000004</v>
      </c>
      <c r="M31" s="430">
        <f t="shared" si="12"/>
        <v>-549286.22880000004</v>
      </c>
      <c r="N31" s="430">
        <f t="shared" si="12"/>
        <v>-549286.22880000004</v>
      </c>
      <c r="O31" s="430">
        <f t="shared" si="12"/>
        <v>-549286.22880000004</v>
      </c>
      <c r="P31" s="430">
        <f t="shared" si="12"/>
        <v>-549286.22880000004</v>
      </c>
      <c r="Q31" s="430">
        <f t="shared" si="12"/>
        <v>-549286.22880000004</v>
      </c>
      <c r="R31" s="431">
        <f t="shared" si="12"/>
        <v>-549286.22880000004</v>
      </c>
    </row>
    <row r="32" spans="1:19" ht="13.5" customHeight="1" x14ac:dyDescent="0.3">
      <c r="A32" s="620"/>
      <c r="B32" s="387" t="s">
        <v>205</v>
      </c>
      <c r="C32" s="430">
        <f t="shared" si="11"/>
        <v>-1702670.6880000003</v>
      </c>
      <c r="D32" s="430">
        <f>-Alternatívy!$C$129</f>
        <v>-113511.3792</v>
      </c>
      <c r="E32" s="430">
        <f t="shared" si="12"/>
        <v>-113511.3792</v>
      </c>
      <c r="F32" s="430">
        <f t="shared" si="12"/>
        <v>-113511.3792</v>
      </c>
      <c r="G32" s="430">
        <f t="shared" si="12"/>
        <v>-113511.3792</v>
      </c>
      <c r="H32" s="430">
        <f t="shared" si="12"/>
        <v>-113511.3792</v>
      </c>
      <c r="I32" s="430">
        <f t="shared" si="12"/>
        <v>-113511.3792</v>
      </c>
      <c r="J32" s="430">
        <f t="shared" si="12"/>
        <v>-113511.3792</v>
      </c>
      <c r="K32" s="430">
        <f t="shared" si="12"/>
        <v>-113511.3792</v>
      </c>
      <c r="L32" s="430">
        <f t="shared" si="12"/>
        <v>-113511.3792</v>
      </c>
      <c r="M32" s="430">
        <f t="shared" si="12"/>
        <v>-113511.3792</v>
      </c>
      <c r="N32" s="430">
        <f t="shared" si="12"/>
        <v>-113511.3792</v>
      </c>
      <c r="O32" s="430">
        <f t="shared" si="12"/>
        <v>-113511.3792</v>
      </c>
      <c r="P32" s="430">
        <f t="shared" si="12"/>
        <v>-113511.3792</v>
      </c>
      <c r="Q32" s="430">
        <f t="shared" si="12"/>
        <v>-113511.3792</v>
      </c>
      <c r="R32" s="431">
        <f t="shared" si="12"/>
        <v>-113511.3792</v>
      </c>
    </row>
    <row r="33" spans="1:18" ht="13.5" customHeight="1" x14ac:dyDescent="0.3">
      <c r="A33" s="620"/>
      <c r="B33" s="387" t="s">
        <v>208</v>
      </c>
      <c r="C33" s="430">
        <f t="shared" si="11"/>
        <v>-489809.37599999999</v>
      </c>
      <c r="D33" s="430">
        <f>-Alternatívy!C132</f>
        <v>-32653.9584</v>
      </c>
      <c r="E33" s="430">
        <f t="shared" si="12"/>
        <v>-32653.9584</v>
      </c>
      <c r="F33" s="430">
        <f t="shared" si="12"/>
        <v>-32653.9584</v>
      </c>
      <c r="G33" s="430">
        <f t="shared" si="12"/>
        <v>-32653.9584</v>
      </c>
      <c r="H33" s="430">
        <f t="shared" si="12"/>
        <v>-32653.9584</v>
      </c>
      <c r="I33" s="430">
        <f t="shared" si="12"/>
        <v>-32653.9584</v>
      </c>
      <c r="J33" s="430">
        <f t="shared" si="12"/>
        <v>-32653.9584</v>
      </c>
      <c r="K33" s="430">
        <f t="shared" si="12"/>
        <v>-32653.9584</v>
      </c>
      <c r="L33" s="430">
        <f t="shared" si="12"/>
        <v>-32653.9584</v>
      </c>
      <c r="M33" s="430">
        <f t="shared" si="12"/>
        <v>-32653.9584</v>
      </c>
      <c r="N33" s="430">
        <f t="shared" si="12"/>
        <v>-32653.9584</v>
      </c>
      <c r="O33" s="430">
        <f t="shared" si="12"/>
        <v>-32653.9584</v>
      </c>
      <c r="P33" s="430">
        <f t="shared" si="12"/>
        <v>-32653.9584</v>
      </c>
      <c r="Q33" s="430">
        <f t="shared" si="12"/>
        <v>-32653.9584</v>
      </c>
      <c r="R33" s="431">
        <f t="shared" si="12"/>
        <v>-32653.9584</v>
      </c>
    </row>
    <row r="34" spans="1:18" ht="13.5" customHeight="1" x14ac:dyDescent="0.3">
      <c r="A34" s="620"/>
      <c r="B34" s="387" t="s">
        <v>206</v>
      </c>
      <c r="C34" s="430">
        <f t="shared" si="11"/>
        <v>-1275105.6000000003</v>
      </c>
      <c r="D34" s="430">
        <f>-Alternatívy!$C$140</f>
        <v>-85007.040000000008</v>
      </c>
      <c r="E34" s="430">
        <f t="shared" si="12"/>
        <v>-85007.040000000008</v>
      </c>
      <c r="F34" s="430">
        <f t="shared" si="12"/>
        <v>-85007.040000000008</v>
      </c>
      <c r="G34" s="430">
        <f t="shared" si="12"/>
        <v>-85007.040000000008</v>
      </c>
      <c r="H34" s="430">
        <f t="shared" si="12"/>
        <v>-85007.040000000008</v>
      </c>
      <c r="I34" s="430">
        <f t="shared" si="12"/>
        <v>-85007.040000000008</v>
      </c>
      <c r="J34" s="430">
        <f t="shared" si="12"/>
        <v>-85007.040000000008</v>
      </c>
      <c r="K34" s="430">
        <f t="shared" si="12"/>
        <v>-85007.040000000008</v>
      </c>
      <c r="L34" s="430">
        <f t="shared" si="12"/>
        <v>-85007.040000000008</v>
      </c>
      <c r="M34" s="430">
        <f t="shared" si="12"/>
        <v>-85007.040000000008</v>
      </c>
      <c r="N34" s="430">
        <f t="shared" si="12"/>
        <v>-85007.040000000008</v>
      </c>
      <c r="O34" s="430">
        <f t="shared" si="12"/>
        <v>-85007.040000000008</v>
      </c>
      <c r="P34" s="430">
        <f t="shared" si="12"/>
        <v>-85007.040000000008</v>
      </c>
      <c r="Q34" s="430">
        <f t="shared" si="12"/>
        <v>-85007.040000000008</v>
      </c>
      <c r="R34" s="431">
        <f t="shared" si="12"/>
        <v>-85007.040000000008</v>
      </c>
    </row>
    <row r="35" spans="1:18" ht="13.5" customHeight="1" x14ac:dyDescent="0.3">
      <c r="A35" s="620"/>
      <c r="B35" s="387" t="s">
        <v>207</v>
      </c>
      <c r="C35" s="430">
        <f t="shared" si="11"/>
        <v>-733560.4500000003</v>
      </c>
      <c r="D35" s="430">
        <f>-Alternatívy!$C$142-Alternatívy!$C$144-Alternatívy!$C$145</f>
        <v>-48904.030000000006</v>
      </c>
      <c r="E35" s="430">
        <f t="shared" si="12"/>
        <v>-48904.030000000006</v>
      </c>
      <c r="F35" s="430">
        <f t="shared" si="12"/>
        <v>-48904.030000000006</v>
      </c>
      <c r="G35" s="430">
        <f t="shared" si="12"/>
        <v>-48904.030000000006</v>
      </c>
      <c r="H35" s="430">
        <f t="shared" si="12"/>
        <v>-48904.030000000006</v>
      </c>
      <c r="I35" s="430">
        <f t="shared" si="12"/>
        <v>-48904.030000000006</v>
      </c>
      <c r="J35" s="430">
        <f t="shared" si="12"/>
        <v>-48904.030000000006</v>
      </c>
      <c r="K35" s="430">
        <f t="shared" si="12"/>
        <v>-48904.030000000006</v>
      </c>
      <c r="L35" s="430">
        <f t="shared" si="12"/>
        <v>-48904.030000000006</v>
      </c>
      <c r="M35" s="430">
        <f t="shared" si="12"/>
        <v>-48904.030000000006</v>
      </c>
      <c r="N35" s="430">
        <f t="shared" si="12"/>
        <v>-48904.030000000006</v>
      </c>
      <c r="O35" s="430">
        <f t="shared" si="12"/>
        <v>-48904.030000000006</v>
      </c>
      <c r="P35" s="430">
        <f t="shared" si="12"/>
        <v>-48904.030000000006</v>
      </c>
      <c r="Q35" s="430">
        <f t="shared" si="12"/>
        <v>-48904.030000000006</v>
      </c>
      <c r="R35" s="431">
        <f t="shared" si="12"/>
        <v>-48904.030000000006</v>
      </c>
    </row>
    <row r="36" spans="1:18" ht="13.5" customHeight="1" x14ac:dyDescent="0.3">
      <c r="A36" s="620"/>
      <c r="B36" s="388" t="s">
        <v>212</v>
      </c>
      <c r="C36" s="432">
        <f t="shared" si="11"/>
        <v>-12440439.545999998</v>
      </c>
      <c r="D36" s="432">
        <f t="shared" ref="D36:R36" si="13">SUM(D31:D35)</f>
        <v>-829362.63640000008</v>
      </c>
      <c r="E36" s="432">
        <f t="shared" si="13"/>
        <v>-829362.63640000008</v>
      </c>
      <c r="F36" s="432">
        <f t="shared" si="13"/>
        <v>-829362.63640000008</v>
      </c>
      <c r="G36" s="432">
        <f t="shared" si="13"/>
        <v>-829362.63640000008</v>
      </c>
      <c r="H36" s="432">
        <f t="shared" si="13"/>
        <v>-829362.63640000008</v>
      </c>
      <c r="I36" s="432">
        <f t="shared" si="13"/>
        <v>-829362.63640000008</v>
      </c>
      <c r="J36" s="432">
        <f t="shared" si="13"/>
        <v>-829362.63640000008</v>
      </c>
      <c r="K36" s="432">
        <f t="shared" si="13"/>
        <v>-829362.63640000008</v>
      </c>
      <c r="L36" s="432">
        <f t="shared" si="13"/>
        <v>-829362.63640000008</v>
      </c>
      <c r="M36" s="432">
        <f t="shared" si="13"/>
        <v>-829362.63640000008</v>
      </c>
      <c r="N36" s="432">
        <f t="shared" si="13"/>
        <v>-829362.63640000008</v>
      </c>
      <c r="O36" s="432">
        <f t="shared" si="13"/>
        <v>-829362.63640000008</v>
      </c>
      <c r="P36" s="432">
        <f t="shared" si="13"/>
        <v>-829362.63640000008</v>
      </c>
      <c r="Q36" s="432">
        <f t="shared" si="13"/>
        <v>-829362.63640000008</v>
      </c>
      <c r="R36" s="433">
        <f t="shared" si="13"/>
        <v>-829362.63640000008</v>
      </c>
    </row>
    <row r="37" spans="1:18" ht="13.5" customHeight="1" x14ac:dyDescent="0.3">
      <c r="A37" s="620"/>
      <c r="B37" s="389"/>
      <c r="C37" s="434"/>
      <c r="D37" s="434"/>
      <c r="E37" s="434"/>
      <c r="F37" s="434"/>
      <c r="G37" s="434"/>
      <c r="H37" s="434"/>
      <c r="I37" s="434"/>
      <c r="J37" s="434"/>
      <c r="K37" s="434"/>
      <c r="L37" s="434"/>
      <c r="M37" s="434"/>
      <c r="N37" s="434"/>
      <c r="O37" s="434"/>
      <c r="P37" s="434"/>
      <c r="Q37" s="434"/>
      <c r="R37" s="435"/>
    </row>
    <row r="38" spans="1:18" ht="13.5" customHeight="1" x14ac:dyDescent="0.3">
      <c r="A38" s="620"/>
      <c r="B38" s="387" t="s">
        <v>270</v>
      </c>
      <c r="C38" s="430">
        <f>SUM(D38:R38)</f>
        <v>-1800000</v>
      </c>
      <c r="D38" s="430">
        <f>-'Status po prestahovaní'!$C$5</f>
        <v>-120000</v>
      </c>
      <c r="E38" s="430">
        <f>-'Status po prestahovaní'!$C$5</f>
        <v>-120000</v>
      </c>
      <c r="F38" s="430">
        <f>-'Status po prestahovaní'!$C$5</f>
        <v>-120000</v>
      </c>
      <c r="G38" s="430">
        <f>-'Status po prestahovaní'!$C$5</f>
        <v>-120000</v>
      </c>
      <c r="H38" s="430">
        <f>-'Status po prestahovaní'!$C$5</f>
        <v>-120000</v>
      </c>
      <c r="I38" s="430">
        <f>-'Status po prestahovaní'!$C$5</f>
        <v>-120000</v>
      </c>
      <c r="J38" s="430">
        <f>-'Status po prestahovaní'!$C$5</f>
        <v>-120000</v>
      </c>
      <c r="K38" s="430">
        <f>-'Status po prestahovaní'!$C$5</f>
        <v>-120000</v>
      </c>
      <c r="L38" s="430">
        <f>-'Status po prestahovaní'!$C$5</f>
        <v>-120000</v>
      </c>
      <c r="M38" s="430">
        <f>-'Status po prestahovaní'!$C$5</f>
        <v>-120000</v>
      </c>
      <c r="N38" s="430">
        <f>-'Status po prestahovaní'!$C$5</f>
        <v>-120000</v>
      </c>
      <c r="O38" s="430">
        <f>-'Status po prestahovaní'!$C$5</f>
        <v>-120000</v>
      </c>
      <c r="P38" s="430">
        <f>-'Status po prestahovaní'!$C$5</f>
        <v>-120000</v>
      </c>
      <c r="Q38" s="430">
        <f>-'Status po prestahovaní'!$C$5</f>
        <v>-120000</v>
      </c>
      <c r="R38" s="431">
        <f>-'Status po prestahovaní'!$C$5</f>
        <v>-120000</v>
      </c>
    </row>
    <row r="39" spans="1:18" ht="13.5" customHeight="1" thickBot="1" x14ac:dyDescent="0.35">
      <c r="A39" s="620"/>
      <c r="B39" s="390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6"/>
      <c r="N39" s="436"/>
      <c r="O39" s="436"/>
      <c r="P39" s="436"/>
      <c r="Q39" s="436"/>
      <c r="R39" s="437"/>
    </row>
    <row r="40" spans="1:18" ht="13.5" customHeight="1" thickBot="1" x14ac:dyDescent="0.35">
      <c r="A40" s="620"/>
      <c r="B40" s="427" t="s">
        <v>274</v>
      </c>
      <c r="C40" s="438">
        <f>SUM(C36:C38)</f>
        <v>-14240439.545999998</v>
      </c>
      <c r="D40" s="438">
        <f t="shared" ref="D40:R40" si="14">SUM(D36:D38)</f>
        <v>-949362.63640000008</v>
      </c>
      <c r="E40" s="438">
        <f t="shared" si="14"/>
        <v>-949362.63640000008</v>
      </c>
      <c r="F40" s="438">
        <f t="shared" si="14"/>
        <v>-949362.63640000008</v>
      </c>
      <c r="G40" s="438">
        <f t="shared" si="14"/>
        <v>-949362.63640000008</v>
      </c>
      <c r="H40" s="438">
        <f t="shared" si="14"/>
        <v>-949362.63640000008</v>
      </c>
      <c r="I40" s="438">
        <f t="shared" si="14"/>
        <v>-949362.63640000008</v>
      </c>
      <c r="J40" s="438">
        <f t="shared" si="14"/>
        <v>-949362.63640000008</v>
      </c>
      <c r="K40" s="438">
        <f t="shared" si="14"/>
        <v>-949362.63640000008</v>
      </c>
      <c r="L40" s="438">
        <f t="shared" si="14"/>
        <v>-949362.63640000008</v>
      </c>
      <c r="M40" s="438">
        <f t="shared" si="14"/>
        <v>-949362.63640000008</v>
      </c>
      <c r="N40" s="438">
        <f t="shared" si="14"/>
        <v>-949362.63640000008</v>
      </c>
      <c r="O40" s="438">
        <f t="shared" si="14"/>
        <v>-949362.63640000008</v>
      </c>
      <c r="P40" s="438">
        <f t="shared" si="14"/>
        <v>-949362.63640000008</v>
      </c>
      <c r="Q40" s="438">
        <f t="shared" si="14"/>
        <v>-949362.63640000008</v>
      </c>
      <c r="R40" s="439">
        <f t="shared" si="14"/>
        <v>-949362.63640000008</v>
      </c>
    </row>
    <row r="41" spans="1:18" ht="13.5" customHeight="1" x14ac:dyDescent="0.3">
      <c r="A41" s="620"/>
      <c r="B41" s="374"/>
      <c r="C41" s="375"/>
      <c r="D41" s="421"/>
      <c r="E41" s="421"/>
      <c r="F41" s="421"/>
      <c r="G41" s="421"/>
      <c r="H41" s="421"/>
      <c r="I41" s="421"/>
      <c r="J41" s="421"/>
      <c r="K41" s="421"/>
      <c r="L41" s="421"/>
      <c r="M41" s="421"/>
      <c r="N41" s="421"/>
      <c r="O41" s="421"/>
      <c r="P41" s="421"/>
      <c r="Q41" s="421"/>
      <c r="R41" s="422"/>
    </row>
    <row r="42" spans="1:18" ht="13.5" customHeight="1" thickBot="1" x14ac:dyDescent="0.35">
      <c r="A42" s="620"/>
      <c r="B42" s="401"/>
      <c r="C42" s="402"/>
      <c r="D42" s="403">
        <v>1</v>
      </c>
      <c r="E42" s="403">
        <v>2</v>
      </c>
      <c r="F42" s="403">
        <v>3</v>
      </c>
      <c r="G42" s="403">
        <v>4</v>
      </c>
      <c r="H42" s="403">
        <v>5</v>
      </c>
      <c r="I42" s="403">
        <v>6</v>
      </c>
      <c r="J42" s="403">
        <v>7</v>
      </c>
      <c r="K42" s="403">
        <v>8</v>
      </c>
      <c r="L42" s="403">
        <v>9</v>
      </c>
      <c r="M42" s="403">
        <v>10</v>
      </c>
      <c r="N42" s="403">
        <v>11</v>
      </c>
      <c r="O42" s="403">
        <v>12</v>
      </c>
      <c r="P42" s="403">
        <v>13</v>
      </c>
      <c r="Q42" s="403">
        <v>14</v>
      </c>
      <c r="R42" s="404">
        <v>15</v>
      </c>
    </row>
    <row r="43" spans="1:18" ht="13.5" customHeight="1" x14ac:dyDescent="0.3">
      <c r="A43" s="620"/>
      <c r="B43" s="391" t="s">
        <v>203</v>
      </c>
      <c r="C43" s="424" t="s">
        <v>33</v>
      </c>
      <c r="D43" s="392">
        <f>D3</f>
        <v>2026</v>
      </c>
      <c r="E43" s="392">
        <f t="shared" ref="E43:R43" si="15">$D$3+D42</f>
        <v>2027</v>
      </c>
      <c r="F43" s="392">
        <f t="shared" si="15"/>
        <v>2028</v>
      </c>
      <c r="G43" s="392">
        <f t="shared" si="15"/>
        <v>2029</v>
      </c>
      <c r="H43" s="392">
        <f t="shared" si="15"/>
        <v>2030</v>
      </c>
      <c r="I43" s="392">
        <f t="shared" si="15"/>
        <v>2031</v>
      </c>
      <c r="J43" s="392">
        <f t="shared" si="15"/>
        <v>2032</v>
      </c>
      <c r="K43" s="392">
        <f t="shared" si="15"/>
        <v>2033</v>
      </c>
      <c r="L43" s="392">
        <f t="shared" si="15"/>
        <v>2034</v>
      </c>
      <c r="M43" s="392">
        <f t="shared" si="15"/>
        <v>2035</v>
      </c>
      <c r="N43" s="392">
        <f t="shared" si="15"/>
        <v>2036</v>
      </c>
      <c r="O43" s="392">
        <f t="shared" si="15"/>
        <v>2037</v>
      </c>
      <c r="P43" s="392">
        <f t="shared" si="15"/>
        <v>2038</v>
      </c>
      <c r="Q43" s="392">
        <f t="shared" si="15"/>
        <v>2039</v>
      </c>
      <c r="R43" s="393">
        <f t="shared" si="15"/>
        <v>2040</v>
      </c>
    </row>
    <row r="44" spans="1:18" ht="13.5" customHeight="1" x14ac:dyDescent="0.3">
      <c r="A44" s="620"/>
      <c r="B44" s="489" t="s">
        <v>209</v>
      </c>
      <c r="C44" s="490">
        <f>SUM(D44:R44)</f>
        <v>-7136863.1999999993</v>
      </c>
      <c r="D44" s="490">
        <f>-Alternatívy!$C$161</f>
        <v>-475790.88000000006</v>
      </c>
      <c r="E44" s="490">
        <f t="shared" ref="E44:R45" si="16">D44</f>
        <v>-475790.88000000006</v>
      </c>
      <c r="F44" s="490">
        <f t="shared" si="16"/>
        <v>-475790.88000000006</v>
      </c>
      <c r="G44" s="490">
        <f t="shared" si="16"/>
        <v>-475790.88000000006</v>
      </c>
      <c r="H44" s="490">
        <f t="shared" si="16"/>
        <v>-475790.88000000006</v>
      </c>
      <c r="I44" s="490">
        <f t="shared" si="16"/>
        <v>-475790.88000000006</v>
      </c>
      <c r="J44" s="490">
        <f t="shared" si="16"/>
        <v>-475790.88000000006</v>
      </c>
      <c r="K44" s="490">
        <f t="shared" si="16"/>
        <v>-475790.88000000006</v>
      </c>
      <c r="L44" s="490">
        <f t="shared" si="16"/>
        <v>-475790.88000000006</v>
      </c>
      <c r="M44" s="490">
        <f t="shared" si="16"/>
        <v>-475790.88000000006</v>
      </c>
      <c r="N44" s="490">
        <f t="shared" si="16"/>
        <v>-475790.88000000006</v>
      </c>
      <c r="O44" s="490">
        <f t="shared" si="16"/>
        <v>-475790.88000000006</v>
      </c>
      <c r="P44" s="490">
        <f t="shared" si="16"/>
        <v>-475790.88000000006</v>
      </c>
      <c r="Q44" s="490">
        <f t="shared" si="16"/>
        <v>-475790.88000000006</v>
      </c>
      <c r="R44" s="491">
        <f t="shared" si="16"/>
        <v>-475790.88000000006</v>
      </c>
    </row>
    <row r="45" spans="1:18" ht="13.5" customHeight="1" thickBot="1" x14ac:dyDescent="0.35">
      <c r="A45" s="620"/>
      <c r="B45" s="492" t="s">
        <v>210</v>
      </c>
      <c r="C45" s="493">
        <f>SUM(D45:R45)</f>
        <v>-1217793.4199999997</v>
      </c>
      <c r="D45" s="493">
        <f>-Alternatívy!$C$164-Alternatívy!$C$167</f>
        <v>-81186.227999999988</v>
      </c>
      <c r="E45" s="493">
        <f t="shared" si="16"/>
        <v>-81186.227999999988</v>
      </c>
      <c r="F45" s="493">
        <f t="shared" si="16"/>
        <v>-81186.227999999988</v>
      </c>
      <c r="G45" s="493">
        <f t="shared" si="16"/>
        <v>-81186.227999999988</v>
      </c>
      <c r="H45" s="493">
        <f t="shared" si="16"/>
        <v>-81186.227999999988</v>
      </c>
      <c r="I45" s="493">
        <f t="shared" si="16"/>
        <v>-81186.227999999988</v>
      </c>
      <c r="J45" s="493">
        <f t="shared" si="16"/>
        <v>-81186.227999999988</v>
      </c>
      <c r="K45" s="493">
        <f t="shared" si="16"/>
        <v>-81186.227999999988</v>
      </c>
      <c r="L45" s="493">
        <f t="shared" si="16"/>
        <v>-81186.227999999988</v>
      </c>
      <c r="M45" s="493">
        <f t="shared" si="16"/>
        <v>-81186.227999999988</v>
      </c>
      <c r="N45" s="493">
        <f t="shared" si="16"/>
        <v>-81186.227999999988</v>
      </c>
      <c r="O45" s="493">
        <f t="shared" si="16"/>
        <v>-81186.227999999988</v>
      </c>
      <c r="P45" s="493">
        <f t="shared" si="16"/>
        <v>-81186.227999999988</v>
      </c>
      <c r="Q45" s="493">
        <f t="shared" si="16"/>
        <v>-81186.227999999988</v>
      </c>
      <c r="R45" s="494">
        <f t="shared" si="16"/>
        <v>-81186.227999999988</v>
      </c>
    </row>
    <row r="46" spans="1:18" ht="13.5" customHeight="1" thickBot="1" x14ac:dyDescent="0.35">
      <c r="A46" s="625"/>
      <c r="B46" s="495" t="s">
        <v>212</v>
      </c>
      <c r="C46" s="496">
        <f>SUM(D46:R46)</f>
        <v>-8354656.6200000001</v>
      </c>
      <c r="D46" s="496">
        <f t="shared" ref="D46:R46" si="17">SUM(D44:D45)</f>
        <v>-556977.10800000001</v>
      </c>
      <c r="E46" s="496">
        <f t="shared" si="17"/>
        <v>-556977.10800000001</v>
      </c>
      <c r="F46" s="496">
        <f t="shared" si="17"/>
        <v>-556977.10800000001</v>
      </c>
      <c r="G46" s="496">
        <f t="shared" si="17"/>
        <v>-556977.10800000001</v>
      </c>
      <c r="H46" s="496">
        <f t="shared" si="17"/>
        <v>-556977.10800000001</v>
      </c>
      <c r="I46" s="496">
        <f t="shared" si="17"/>
        <v>-556977.10800000001</v>
      </c>
      <c r="J46" s="496">
        <f t="shared" si="17"/>
        <v>-556977.10800000001</v>
      </c>
      <c r="K46" s="496">
        <f t="shared" si="17"/>
        <v>-556977.10800000001</v>
      </c>
      <c r="L46" s="496">
        <f t="shared" si="17"/>
        <v>-556977.10800000001</v>
      </c>
      <c r="M46" s="496">
        <f t="shared" si="17"/>
        <v>-556977.10800000001</v>
      </c>
      <c r="N46" s="496">
        <f t="shared" si="17"/>
        <v>-556977.10800000001</v>
      </c>
      <c r="O46" s="496">
        <f t="shared" si="17"/>
        <v>-556977.10800000001</v>
      </c>
      <c r="P46" s="496">
        <f t="shared" si="17"/>
        <v>-556977.10800000001</v>
      </c>
      <c r="Q46" s="496">
        <f t="shared" si="17"/>
        <v>-556977.10800000001</v>
      </c>
      <c r="R46" s="497">
        <f t="shared" si="17"/>
        <v>-556977.10800000001</v>
      </c>
    </row>
    <row r="47" spans="1:18" ht="14.4" thickBot="1" x14ac:dyDescent="0.35">
      <c r="C47" s="53"/>
    </row>
    <row r="48" spans="1:18" ht="16.2" thickBot="1" x14ac:dyDescent="0.35">
      <c r="B48" s="453" t="s">
        <v>276</v>
      </c>
      <c r="C48" s="451">
        <f>SUM(C12,C27,C40,C46)</f>
        <v>-87854159.03502503</v>
      </c>
      <c r="D48" s="451">
        <f t="shared" ref="D48:R48" si="18">SUM(D12,D27,D40,D46)</f>
        <v>-5856943.9356683362</v>
      </c>
      <c r="E48" s="451">
        <f t="shared" si="18"/>
        <v>-5856943.9356683362</v>
      </c>
      <c r="F48" s="451">
        <f t="shared" si="18"/>
        <v>-5856943.9356683362</v>
      </c>
      <c r="G48" s="451">
        <f t="shared" si="18"/>
        <v>-5856943.9356683362</v>
      </c>
      <c r="H48" s="451">
        <f t="shared" si="18"/>
        <v>-5856943.9356683362</v>
      </c>
      <c r="I48" s="451">
        <f t="shared" si="18"/>
        <v>-5856943.9356683362</v>
      </c>
      <c r="J48" s="451">
        <f t="shared" si="18"/>
        <v>-5856943.9356683362</v>
      </c>
      <c r="K48" s="451">
        <f t="shared" si="18"/>
        <v>-5856943.9356683362</v>
      </c>
      <c r="L48" s="451">
        <f t="shared" si="18"/>
        <v>-5856943.9356683362</v>
      </c>
      <c r="M48" s="451">
        <f t="shared" si="18"/>
        <v>-5856943.9356683362</v>
      </c>
      <c r="N48" s="451">
        <f t="shared" si="18"/>
        <v>-5856943.9356683362</v>
      </c>
      <c r="O48" s="451">
        <f t="shared" si="18"/>
        <v>-5856943.9356683362</v>
      </c>
      <c r="P48" s="451">
        <f t="shared" si="18"/>
        <v>-5856943.9356683362</v>
      </c>
      <c r="Q48" s="451">
        <f t="shared" si="18"/>
        <v>-5856943.9356683362</v>
      </c>
      <c r="R48" s="452">
        <f t="shared" si="18"/>
        <v>-5856943.9356683362</v>
      </c>
    </row>
    <row r="49" spans="1:18" ht="15.6" x14ac:dyDescent="0.3">
      <c r="B49" s="460"/>
      <c r="C49" s="461"/>
      <c r="D49" s="461"/>
      <c r="E49" s="461"/>
      <c r="F49" s="461"/>
      <c r="G49" s="461"/>
      <c r="H49" s="461"/>
      <c r="I49" s="461"/>
      <c r="J49" s="461"/>
      <c r="K49" s="461"/>
      <c r="L49" s="461"/>
      <c r="M49" s="461"/>
      <c r="N49" s="461"/>
      <c r="O49" s="461"/>
      <c r="P49" s="461"/>
      <c r="Q49" s="461"/>
      <c r="R49" s="461"/>
    </row>
    <row r="50" spans="1:18" ht="14.4" thickBot="1" x14ac:dyDescent="0.35">
      <c r="A50" s="623"/>
      <c r="B50" s="623"/>
      <c r="C50" s="38"/>
      <c r="D50" s="39">
        <v>1</v>
      </c>
      <c r="E50" s="39">
        <v>2</v>
      </c>
      <c r="F50" s="39">
        <v>3</v>
      </c>
      <c r="G50" s="39">
        <v>4</v>
      </c>
      <c r="H50" s="39">
        <v>5</v>
      </c>
      <c r="I50" s="39">
        <v>6</v>
      </c>
      <c r="J50" s="39">
        <v>7</v>
      </c>
      <c r="K50" s="39">
        <v>8</v>
      </c>
      <c r="L50" s="39">
        <v>9</v>
      </c>
      <c r="M50" s="39">
        <v>10</v>
      </c>
      <c r="N50" s="39">
        <v>11</v>
      </c>
      <c r="O50" s="39">
        <v>12</v>
      </c>
      <c r="P50" s="39">
        <v>13</v>
      </c>
      <c r="Q50" s="39">
        <v>14</v>
      </c>
      <c r="R50" s="39">
        <v>15</v>
      </c>
    </row>
    <row r="51" spans="1:18" s="40" customFormat="1" ht="16.2" customHeight="1" x14ac:dyDescent="0.3">
      <c r="A51" s="619" t="s">
        <v>153</v>
      </c>
      <c r="B51" s="353" t="s">
        <v>157</v>
      </c>
      <c r="C51" s="354" t="s">
        <v>33</v>
      </c>
      <c r="D51" s="355">
        <f>D15</f>
        <v>2026</v>
      </c>
      <c r="E51" s="356">
        <f t="shared" ref="E51:R51" si="19">$D$3+D50</f>
        <v>2027</v>
      </c>
      <c r="F51" s="357">
        <f t="shared" si="19"/>
        <v>2028</v>
      </c>
      <c r="G51" s="358">
        <f t="shared" si="19"/>
        <v>2029</v>
      </c>
      <c r="H51" s="356">
        <f t="shared" si="19"/>
        <v>2030</v>
      </c>
      <c r="I51" s="356">
        <f t="shared" si="19"/>
        <v>2031</v>
      </c>
      <c r="J51" s="356">
        <f t="shared" si="19"/>
        <v>2032</v>
      </c>
      <c r="K51" s="356">
        <f t="shared" si="19"/>
        <v>2033</v>
      </c>
      <c r="L51" s="356">
        <f t="shared" si="19"/>
        <v>2034</v>
      </c>
      <c r="M51" s="356">
        <f t="shared" si="19"/>
        <v>2035</v>
      </c>
      <c r="N51" s="356">
        <f t="shared" si="19"/>
        <v>2036</v>
      </c>
      <c r="O51" s="356">
        <f t="shared" si="19"/>
        <v>2037</v>
      </c>
      <c r="P51" s="356">
        <f t="shared" si="19"/>
        <v>2038</v>
      </c>
      <c r="Q51" s="356">
        <f t="shared" si="19"/>
        <v>2039</v>
      </c>
      <c r="R51" s="359">
        <f t="shared" si="19"/>
        <v>2040</v>
      </c>
    </row>
    <row r="52" spans="1:18" x14ac:dyDescent="0.3">
      <c r="A52" s="621"/>
      <c r="B52" s="471" t="s">
        <v>9</v>
      </c>
      <c r="C52" s="472">
        <f>SUM(D52:R52)</f>
        <v>-24611220</v>
      </c>
      <c r="D52" s="148">
        <f>-Alternatívy!$E$184</f>
        <v>-1640748</v>
      </c>
      <c r="E52" s="148">
        <f>-Alternatívy!$F$184</f>
        <v>-1640748</v>
      </c>
      <c r="F52" s="148">
        <f>-Alternatívy!$G$184</f>
        <v>-1640748</v>
      </c>
      <c r="G52" s="150">
        <f>F52</f>
        <v>-1640748</v>
      </c>
      <c r="H52" s="146">
        <f t="shared" ref="H52:R55" si="20">G52</f>
        <v>-1640748</v>
      </c>
      <c r="I52" s="146">
        <f t="shared" si="20"/>
        <v>-1640748</v>
      </c>
      <c r="J52" s="146">
        <f t="shared" si="20"/>
        <v>-1640748</v>
      </c>
      <c r="K52" s="146">
        <f t="shared" si="20"/>
        <v>-1640748</v>
      </c>
      <c r="L52" s="146">
        <f t="shared" si="20"/>
        <v>-1640748</v>
      </c>
      <c r="M52" s="146">
        <f t="shared" si="20"/>
        <v>-1640748</v>
      </c>
      <c r="N52" s="146">
        <f t="shared" si="20"/>
        <v>-1640748</v>
      </c>
      <c r="O52" s="146">
        <f t="shared" si="20"/>
        <v>-1640748</v>
      </c>
      <c r="P52" s="146">
        <f t="shared" si="20"/>
        <v>-1640748</v>
      </c>
      <c r="Q52" s="146">
        <f t="shared" si="20"/>
        <v>-1640748</v>
      </c>
      <c r="R52" s="360">
        <f t="shared" si="20"/>
        <v>-1640748</v>
      </c>
    </row>
    <row r="53" spans="1:18" x14ac:dyDescent="0.3">
      <c r="A53" s="621"/>
      <c r="B53" s="471" t="s">
        <v>54</v>
      </c>
      <c r="C53" s="472">
        <f>SUM(D53:R53)</f>
        <v>-2789639.9999999995</v>
      </c>
      <c r="D53" s="148">
        <f>-Alternatívy!$C$207</f>
        <v>-185975.99999999997</v>
      </c>
      <c r="E53" s="146">
        <f>D53</f>
        <v>-185975.99999999997</v>
      </c>
      <c r="F53" s="149">
        <f t="shared" ref="F53:G55" si="21">E53</f>
        <v>-185975.99999999997</v>
      </c>
      <c r="G53" s="150">
        <f t="shared" si="21"/>
        <v>-185975.99999999997</v>
      </c>
      <c r="H53" s="146">
        <f t="shared" si="20"/>
        <v>-185975.99999999997</v>
      </c>
      <c r="I53" s="146">
        <f t="shared" si="20"/>
        <v>-185975.99999999997</v>
      </c>
      <c r="J53" s="146">
        <f t="shared" si="20"/>
        <v>-185975.99999999997</v>
      </c>
      <c r="K53" s="146">
        <f t="shared" si="20"/>
        <v>-185975.99999999997</v>
      </c>
      <c r="L53" s="146">
        <f t="shared" si="20"/>
        <v>-185975.99999999997</v>
      </c>
      <c r="M53" s="146">
        <f t="shared" si="20"/>
        <v>-185975.99999999997</v>
      </c>
      <c r="N53" s="146">
        <f t="shared" si="20"/>
        <v>-185975.99999999997</v>
      </c>
      <c r="O53" s="146">
        <f t="shared" si="20"/>
        <v>-185975.99999999997</v>
      </c>
      <c r="P53" s="146">
        <f t="shared" si="20"/>
        <v>-185975.99999999997</v>
      </c>
      <c r="Q53" s="146">
        <f t="shared" si="20"/>
        <v>-185975.99999999997</v>
      </c>
      <c r="R53" s="360">
        <f t="shared" si="20"/>
        <v>-185975.99999999997</v>
      </c>
    </row>
    <row r="54" spans="1:18" x14ac:dyDescent="0.3">
      <c r="A54" s="621"/>
      <c r="B54" s="471" t="s">
        <v>55</v>
      </c>
      <c r="C54" s="472">
        <f>SUM(D54:R54)</f>
        <v>-5492519.9999999991</v>
      </c>
      <c r="D54" s="148">
        <f>-Alternatívy!$C$196</f>
        <v>-366167.99999999994</v>
      </c>
      <c r="E54" s="146">
        <f>D54</f>
        <v>-366167.99999999994</v>
      </c>
      <c r="F54" s="149">
        <f t="shared" si="21"/>
        <v>-366167.99999999994</v>
      </c>
      <c r="G54" s="150">
        <f t="shared" si="21"/>
        <v>-366167.99999999994</v>
      </c>
      <c r="H54" s="146">
        <f t="shared" si="20"/>
        <v>-366167.99999999994</v>
      </c>
      <c r="I54" s="146">
        <f t="shared" si="20"/>
        <v>-366167.99999999994</v>
      </c>
      <c r="J54" s="146">
        <f t="shared" si="20"/>
        <v>-366167.99999999994</v>
      </c>
      <c r="K54" s="146">
        <f t="shared" si="20"/>
        <v>-366167.99999999994</v>
      </c>
      <c r="L54" s="146">
        <f t="shared" si="20"/>
        <v>-366167.99999999994</v>
      </c>
      <c r="M54" s="146">
        <f t="shared" si="20"/>
        <v>-366167.99999999994</v>
      </c>
      <c r="N54" s="146">
        <f t="shared" si="20"/>
        <v>-366167.99999999994</v>
      </c>
      <c r="O54" s="146">
        <f t="shared" si="20"/>
        <v>-366167.99999999994</v>
      </c>
      <c r="P54" s="146">
        <f t="shared" si="20"/>
        <v>-366167.99999999994</v>
      </c>
      <c r="Q54" s="146">
        <f t="shared" si="20"/>
        <v>-366167.99999999994</v>
      </c>
      <c r="R54" s="360">
        <f t="shared" si="20"/>
        <v>-366167.99999999994</v>
      </c>
    </row>
    <row r="55" spans="1:18" ht="14.4" thickBot="1" x14ac:dyDescent="0.35">
      <c r="A55" s="621"/>
      <c r="B55" s="473" t="s">
        <v>56</v>
      </c>
      <c r="C55" s="474">
        <f>SUM(D55:R55)</f>
        <v>-2509740</v>
      </c>
      <c r="D55" s="454">
        <f>-Alternatívy!$C$191</f>
        <v>-167316</v>
      </c>
      <c r="E55" s="455">
        <f>D55</f>
        <v>-167316</v>
      </c>
      <c r="F55" s="456">
        <f t="shared" si="21"/>
        <v>-167316</v>
      </c>
      <c r="G55" s="457">
        <f t="shared" si="21"/>
        <v>-167316</v>
      </c>
      <c r="H55" s="455">
        <f t="shared" si="20"/>
        <v>-167316</v>
      </c>
      <c r="I55" s="455">
        <f t="shared" si="20"/>
        <v>-167316</v>
      </c>
      <c r="J55" s="455">
        <f t="shared" si="20"/>
        <v>-167316</v>
      </c>
      <c r="K55" s="455">
        <f t="shared" si="20"/>
        <v>-167316</v>
      </c>
      <c r="L55" s="455">
        <f t="shared" si="20"/>
        <v>-167316</v>
      </c>
      <c r="M55" s="455">
        <f t="shared" si="20"/>
        <v>-167316</v>
      </c>
      <c r="N55" s="455">
        <f t="shared" si="20"/>
        <v>-167316</v>
      </c>
      <c r="O55" s="455">
        <f t="shared" si="20"/>
        <v>-167316</v>
      </c>
      <c r="P55" s="455">
        <f t="shared" si="20"/>
        <v>-167316</v>
      </c>
      <c r="Q55" s="455">
        <f t="shared" si="20"/>
        <v>-167316</v>
      </c>
      <c r="R55" s="458">
        <f t="shared" si="20"/>
        <v>-167316</v>
      </c>
    </row>
    <row r="56" spans="1:18" ht="14.4" thickBot="1" x14ac:dyDescent="0.35">
      <c r="A56" s="621"/>
      <c r="B56" s="475" t="s">
        <v>212</v>
      </c>
      <c r="C56" s="476">
        <f>SUM(D56:R56)</f>
        <v>-35403120</v>
      </c>
      <c r="D56" s="477">
        <f>SUM(D52:D55)</f>
        <v>-2360208</v>
      </c>
      <c r="E56" s="478">
        <f t="shared" ref="E56:R56" si="22">SUM(E52:E55)</f>
        <v>-2360208</v>
      </c>
      <c r="F56" s="479">
        <f t="shared" si="22"/>
        <v>-2360208</v>
      </c>
      <c r="G56" s="480">
        <f t="shared" si="22"/>
        <v>-2360208</v>
      </c>
      <c r="H56" s="478">
        <f t="shared" si="22"/>
        <v>-2360208</v>
      </c>
      <c r="I56" s="478">
        <f t="shared" si="22"/>
        <v>-2360208</v>
      </c>
      <c r="J56" s="478">
        <f t="shared" si="22"/>
        <v>-2360208</v>
      </c>
      <c r="K56" s="478">
        <f t="shared" si="22"/>
        <v>-2360208</v>
      </c>
      <c r="L56" s="478">
        <f t="shared" si="22"/>
        <v>-2360208</v>
      </c>
      <c r="M56" s="478">
        <f t="shared" si="22"/>
        <v>-2360208</v>
      </c>
      <c r="N56" s="478">
        <f t="shared" si="22"/>
        <v>-2360208</v>
      </c>
      <c r="O56" s="478">
        <f t="shared" si="22"/>
        <v>-2360208</v>
      </c>
      <c r="P56" s="478">
        <f t="shared" si="22"/>
        <v>-2360208</v>
      </c>
      <c r="Q56" s="478">
        <f t="shared" si="22"/>
        <v>-2360208</v>
      </c>
      <c r="R56" s="481">
        <f t="shared" si="22"/>
        <v>-2360208</v>
      </c>
    </row>
    <row r="57" spans="1:18" x14ac:dyDescent="0.3">
      <c r="A57" s="621"/>
      <c r="B57" s="459"/>
      <c r="C57" s="421"/>
      <c r="D57" s="421"/>
      <c r="E57" s="421"/>
      <c r="F57" s="421"/>
      <c r="G57" s="421"/>
      <c r="H57" s="421"/>
      <c r="I57" s="421"/>
      <c r="J57" s="421"/>
      <c r="K57" s="421"/>
      <c r="L57" s="421"/>
      <c r="M57" s="421"/>
      <c r="N57" s="421"/>
      <c r="O57" s="421"/>
      <c r="P57" s="421"/>
      <c r="Q57" s="421"/>
      <c r="R57" s="422"/>
    </row>
    <row r="58" spans="1:18" x14ac:dyDescent="0.3">
      <c r="A58" s="621"/>
      <c r="B58" s="361"/>
      <c r="C58" s="44"/>
      <c r="D58" s="45">
        <v>1</v>
      </c>
      <c r="E58" s="45">
        <v>2</v>
      </c>
      <c r="F58" s="45">
        <v>3</v>
      </c>
      <c r="G58" s="45">
        <v>4</v>
      </c>
      <c r="H58" s="45">
        <v>5</v>
      </c>
      <c r="I58" s="45">
        <v>6</v>
      </c>
      <c r="J58" s="45">
        <v>7</v>
      </c>
      <c r="K58" s="45">
        <v>8</v>
      </c>
      <c r="L58" s="45">
        <v>9</v>
      </c>
      <c r="M58" s="45">
        <v>10</v>
      </c>
      <c r="N58" s="45">
        <v>11</v>
      </c>
      <c r="O58" s="45">
        <v>12</v>
      </c>
      <c r="P58" s="45">
        <v>13</v>
      </c>
      <c r="Q58" s="45">
        <v>14</v>
      </c>
      <c r="R58" s="219">
        <v>15</v>
      </c>
    </row>
    <row r="59" spans="1:18" ht="15.6" x14ac:dyDescent="0.3">
      <c r="A59" s="621"/>
      <c r="B59" s="362" t="s">
        <v>158</v>
      </c>
      <c r="C59" s="468" t="s">
        <v>33</v>
      </c>
      <c r="D59" s="43">
        <f>D51</f>
        <v>2026</v>
      </c>
      <c r="E59" s="43">
        <f t="shared" ref="E59:R59" si="23">$D$3+D58</f>
        <v>2027</v>
      </c>
      <c r="F59" s="43">
        <f t="shared" si="23"/>
        <v>2028</v>
      </c>
      <c r="G59" s="42">
        <f t="shared" si="23"/>
        <v>2029</v>
      </c>
      <c r="H59" s="43">
        <f t="shared" si="23"/>
        <v>2030</v>
      </c>
      <c r="I59" s="43">
        <f t="shared" si="23"/>
        <v>2031</v>
      </c>
      <c r="J59" s="43">
        <f t="shared" si="23"/>
        <v>2032</v>
      </c>
      <c r="K59" s="43">
        <f t="shared" si="23"/>
        <v>2033</v>
      </c>
      <c r="L59" s="43">
        <f t="shared" si="23"/>
        <v>2034</v>
      </c>
      <c r="M59" s="43">
        <f t="shared" si="23"/>
        <v>2035</v>
      </c>
      <c r="N59" s="43">
        <f t="shared" si="23"/>
        <v>2036</v>
      </c>
      <c r="O59" s="43">
        <f t="shared" si="23"/>
        <v>2037</v>
      </c>
      <c r="P59" s="43">
        <f t="shared" si="23"/>
        <v>2038</v>
      </c>
      <c r="Q59" s="43">
        <f t="shared" si="23"/>
        <v>2039</v>
      </c>
      <c r="R59" s="363">
        <f t="shared" si="23"/>
        <v>2040</v>
      </c>
    </row>
    <row r="60" spans="1:18" x14ac:dyDescent="0.3">
      <c r="A60" s="621"/>
      <c r="B60" s="482" t="s">
        <v>9</v>
      </c>
      <c r="C60" s="483">
        <f t="shared" ref="C60:C65" si="24">SUM(D60:R60)</f>
        <v>-31730400</v>
      </c>
      <c r="D60" s="147">
        <f>-Alternatívy!$E$222</f>
        <v>-2115360</v>
      </c>
      <c r="E60" s="147">
        <f>-Alternatívy!$F$222</f>
        <v>-2115360</v>
      </c>
      <c r="F60" s="147">
        <f>-Alternatívy!$G$222</f>
        <v>-2115360</v>
      </c>
      <c r="G60" s="151">
        <f>F60</f>
        <v>-2115360</v>
      </c>
      <c r="H60" s="147">
        <f t="shared" ref="H60:R63" si="25">G60</f>
        <v>-2115360</v>
      </c>
      <c r="I60" s="147">
        <f t="shared" si="25"/>
        <v>-2115360</v>
      </c>
      <c r="J60" s="147">
        <f t="shared" si="25"/>
        <v>-2115360</v>
      </c>
      <c r="K60" s="147">
        <f t="shared" si="25"/>
        <v>-2115360</v>
      </c>
      <c r="L60" s="147">
        <f t="shared" si="25"/>
        <v>-2115360</v>
      </c>
      <c r="M60" s="147">
        <f t="shared" si="25"/>
        <v>-2115360</v>
      </c>
      <c r="N60" s="147">
        <f t="shared" si="25"/>
        <v>-2115360</v>
      </c>
      <c r="O60" s="147">
        <f t="shared" si="25"/>
        <v>-2115360</v>
      </c>
      <c r="P60" s="147">
        <f t="shared" si="25"/>
        <v>-2115360</v>
      </c>
      <c r="Q60" s="147">
        <f t="shared" si="25"/>
        <v>-2115360</v>
      </c>
      <c r="R60" s="364">
        <f t="shared" si="25"/>
        <v>-2115360</v>
      </c>
    </row>
    <row r="61" spans="1:18" x14ac:dyDescent="0.3">
      <c r="A61" s="621"/>
      <c r="B61" s="482" t="s">
        <v>54</v>
      </c>
      <c r="C61" s="483">
        <f t="shared" si="24"/>
        <v>-2502900</v>
      </c>
      <c r="D61" s="147">
        <f>-Alternatívy!$C$245</f>
        <v>-166860</v>
      </c>
      <c r="E61" s="147">
        <f>D61</f>
        <v>-166860</v>
      </c>
      <c r="F61" s="147">
        <f t="shared" ref="F61:G63" si="26">E61</f>
        <v>-166860</v>
      </c>
      <c r="G61" s="147">
        <f t="shared" si="26"/>
        <v>-166860</v>
      </c>
      <c r="H61" s="147">
        <f t="shared" si="25"/>
        <v>-166860</v>
      </c>
      <c r="I61" s="147">
        <f t="shared" si="25"/>
        <v>-166860</v>
      </c>
      <c r="J61" s="147">
        <f t="shared" si="25"/>
        <v>-166860</v>
      </c>
      <c r="K61" s="147">
        <f t="shared" si="25"/>
        <v>-166860</v>
      </c>
      <c r="L61" s="147">
        <f t="shared" si="25"/>
        <v>-166860</v>
      </c>
      <c r="M61" s="147">
        <f t="shared" si="25"/>
        <v>-166860</v>
      </c>
      <c r="N61" s="147">
        <f t="shared" si="25"/>
        <v>-166860</v>
      </c>
      <c r="O61" s="147">
        <f t="shared" si="25"/>
        <v>-166860</v>
      </c>
      <c r="P61" s="147">
        <f t="shared" si="25"/>
        <v>-166860</v>
      </c>
      <c r="Q61" s="147">
        <f t="shared" si="25"/>
        <v>-166860</v>
      </c>
      <c r="R61" s="364">
        <f t="shared" si="25"/>
        <v>-166860</v>
      </c>
    </row>
    <row r="62" spans="1:18" x14ac:dyDescent="0.3">
      <c r="A62" s="621"/>
      <c r="B62" s="482" t="s">
        <v>55</v>
      </c>
      <c r="C62" s="483">
        <f t="shared" si="24"/>
        <v>-8586000</v>
      </c>
      <c r="D62" s="147">
        <f>-Alternatívy!$C$234</f>
        <v>-572400</v>
      </c>
      <c r="E62" s="147">
        <f>D62</f>
        <v>-572400</v>
      </c>
      <c r="F62" s="147">
        <f t="shared" si="26"/>
        <v>-572400</v>
      </c>
      <c r="G62" s="147">
        <f t="shared" si="26"/>
        <v>-572400</v>
      </c>
      <c r="H62" s="147">
        <f t="shared" si="25"/>
        <v>-572400</v>
      </c>
      <c r="I62" s="147">
        <f t="shared" si="25"/>
        <v>-572400</v>
      </c>
      <c r="J62" s="147">
        <f t="shared" si="25"/>
        <v>-572400</v>
      </c>
      <c r="K62" s="147">
        <f t="shared" si="25"/>
        <v>-572400</v>
      </c>
      <c r="L62" s="147">
        <f t="shared" si="25"/>
        <v>-572400</v>
      </c>
      <c r="M62" s="147">
        <f t="shared" si="25"/>
        <v>-572400</v>
      </c>
      <c r="N62" s="147">
        <f t="shared" si="25"/>
        <v>-572400</v>
      </c>
      <c r="O62" s="147">
        <f t="shared" si="25"/>
        <v>-572400</v>
      </c>
      <c r="P62" s="147">
        <f t="shared" si="25"/>
        <v>-572400</v>
      </c>
      <c r="Q62" s="147">
        <f t="shared" si="25"/>
        <v>-572400</v>
      </c>
      <c r="R62" s="364">
        <f t="shared" si="25"/>
        <v>-572400</v>
      </c>
    </row>
    <row r="63" spans="1:18" x14ac:dyDescent="0.3">
      <c r="A63" s="621"/>
      <c r="B63" s="482" t="s">
        <v>56</v>
      </c>
      <c r="C63" s="483">
        <f t="shared" si="24"/>
        <v>-1908000</v>
      </c>
      <c r="D63" s="147">
        <f>-Alternatívy!$C$229</f>
        <v>-127200</v>
      </c>
      <c r="E63" s="147">
        <f>D63</f>
        <v>-127200</v>
      </c>
      <c r="F63" s="147">
        <f t="shared" si="26"/>
        <v>-127200</v>
      </c>
      <c r="G63" s="147">
        <f t="shared" si="26"/>
        <v>-127200</v>
      </c>
      <c r="H63" s="147">
        <f t="shared" si="25"/>
        <v>-127200</v>
      </c>
      <c r="I63" s="147">
        <f t="shared" si="25"/>
        <v>-127200</v>
      </c>
      <c r="J63" s="147">
        <f t="shared" si="25"/>
        <v>-127200</v>
      </c>
      <c r="K63" s="147">
        <f t="shared" si="25"/>
        <v>-127200</v>
      </c>
      <c r="L63" s="147">
        <f t="shared" si="25"/>
        <v>-127200</v>
      </c>
      <c r="M63" s="147">
        <f t="shared" si="25"/>
        <v>-127200</v>
      </c>
      <c r="N63" s="147">
        <f t="shared" si="25"/>
        <v>-127200</v>
      </c>
      <c r="O63" s="147">
        <f t="shared" si="25"/>
        <v>-127200</v>
      </c>
      <c r="P63" s="147">
        <f t="shared" si="25"/>
        <v>-127200</v>
      </c>
      <c r="Q63" s="147">
        <f t="shared" si="25"/>
        <v>-127200</v>
      </c>
      <c r="R63" s="364">
        <f t="shared" si="25"/>
        <v>-127200</v>
      </c>
    </row>
    <row r="64" spans="1:18" ht="14.4" thickBot="1" x14ac:dyDescent="0.35">
      <c r="A64" s="621"/>
      <c r="B64" s="484" t="s">
        <v>213</v>
      </c>
      <c r="C64" s="485">
        <f t="shared" si="24"/>
        <v>-44727300</v>
      </c>
      <c r="D64" s="486">
        <f>SUM(D60:D63)</f>
        <v>-2981820</v>
      </c>
      <c r="E64" s="486">
        <f t="shared" ref="E64:R64" si="27">SUM(E60:E63)</f>
        <v>-2981820</v>
      </c>
      <c r="F64" s="486">
        <f t="shared" si="27"/>
        <v>-2981820</v>
      </c>
      <c r="G64" s="486">
        <f t="shared" si="27"/>
        <v>-2981820</v>
      </c>
      <c r="H64" s="487">
        <f t="shared" si="27"/>
        <v>-2981820</v>
      </c>
      <c r="I64" s="487">
        <f t="shared" si="27"/>
        <v>-2981820</v>
      </c>
      <c r="J64" s="487">
        <f t="shared" si="27"/>
        <v>-2981820</v>
      </c>
      <c r="K64" s="487">
        <f t="shared" si="27"/>
        <v>-2981820</v>
      </c>
      <c r="L64" s="487">
        <f t="shared" si="27"/>
        <v>-2981820</v>
      </c>
      <c r="M64" s="487">
        <f t="shared" si="27"/>
        <v>-2981820</v>
      </c>
      <c r="N64" s="487">
        <f t="shared" si="27"/>
        <v>-2981820</v>
      </c>
      <c r="O64" s="487">
        <f t="shared" si="27"/>
        <v>-2981820</v>
      </c>
      <c r="P64" s="487">
        <f t="shared" si="27"/>
        <v>-2981820</v>
      </c>
      <c r="Q64" s="487">
        <f t="shared" si="27"/>
        <v>-2981820</v>
      </c>
      <c r="R64" s="488">
        <f t="shared" si="27"/>
        <v>-2981820</v>
      </c>
    </row>
    <row r="65" spans="1:18" ht="15" thickTop="1" thickBot="1" x14ac:dyDescent="0.35">
      <c r="A65" s="621"/>
      <c r="B65" s="484" t="s">
        <v>212</v>
      </c>
      <c r="C65" s="485">
        <f t="shared" si="24"/>
        <v>-55014579.000000015</v>
      </c>
      <c r="D65" s="486">
        <f>-Alternatívy!$C$250</f>
        <v>-3667638.6</v>
      </c>
      <c r="E65" s="486">
        <f>D65</f>
        <v>-3667638.6</v>
      </c>
      <c r="F65" s="486">
        <f t="shared" ref="F65:R65" si="28">E65</f>
        <v>-3667638.6</v>
      </c>
      <c r="G65" s="486">
        <f t="shared" si="28"/>
        <v>-3667638.6</v>
      </c>
      <c r="H65" s="487">
        <f t="shared" si="28"/>
        <v>-3667638.6</v>
      </c>
      <c r="I65" s="487">
        <f t="shared" si="28"/>
        <v>-3667638.6</v>
      </c>
      <c r="J65" s="487">
        <f t="shared" si="28"/>
        <v>-3667638.6</v>
      </c>
      <c r="K65" s="487">
        <f t="shared" si="28"/>
        <v>-3667638.6</v>
      </c>
      <c r="L65" s="487">
        <f t="shared" si="28"/>
        <v>-3667638.6</v>
      </c>
      <c r="M65" s="487">
        <f t="shared" si="28"/>
        <v>-3667638.6</v>
      </c>
      <c r="N65" s="487">
        <f t="shared" si="28"/>
        <v>-3667638.6</v>
      </c>
      <c r="O65" s="487">
        <f t="shared" si="28"/>
        <v>-3667638.6</v>
      </c>
      <c r="P65" s="487">
        <f t="shared" si="28"/>
        <v>-3667638.6</v>
      </c>
      <c r="Q65" s="487">
        <f t="shared" si="28"/>
        <v>-3667638.6</v>
      </c>
      <c r="R65" s="488">
        <f t="shared" si="28"/>
        <v>-3667638.6</v>
      </c>
    </row>
    <row r="66" spans="1:18" ht="14.4" thickTop="1" x14ac:dyDescent="0.3">
      <c r="A66" s="621"/>
      <c r="B66" s="374"/>
      <c r="C66" s="466"/>
      <c r="D66" s="466"/>
      <c r="E66" s="466"/>
      <c r="F66" s="466"/>
      <c r="G66" s="466"/>
      <c r="H66" s="466"/>
      <c r="I66" s="466"/>
      <c r="J66" s="466"/>
      <c r="K66" s="466"/>
      <c r="L66" s="466"/>
      <c r="M66" s="466"/>
      <c r="N66" s="466"/>
      <c r="O66" s="466"/>
      <c r="P66" s="466"/>
      <c r="Q66" s="466"/>
      <c r="R66" s="467"/>
    </row>
    <row r="67" spans="1:18" x14ac:dyDescent="0.3">
      <c r="A67" s="621"/>
      <c r="B67" s="361"/>
      <c r="C67" s="44"/>
      <c r="D67" s="45">
        <v>1</v>
      </c>
      <c r="E67" s="45">
        <v>2</v>
      </c>
      <c r="F67" s="45">
        <v>3</v>
      </c>
      <c r="G67" s="45">
        <v>4</v>
      </c>
      <c r="H67" s="45">
        <v>5</v>
      </c>
      <c r="I67" s="45">
        <v>6</v>
      </c>
      <c r="J67" s="45">
        <v>7</v>
      </c>
      <c r="K67" s="45">
        <v>8</v>
      </c>
      <c r="L67" s="45">
        <v>9</v>
      </c>
      <c r="M67" s="45">
        <v>10</v>
      </c>
      <c r="N67" s="45">
        <v>11</v>
      </c>
      <c r="O67" s="45">
        <v>12</v>
      </c>
      <c r="P67" s="45">
        <v>13</v>
      </c>
      <c r="Q67" s="45">
        <v>14</v>
      </c>
      <c r="R67" s="219">
        <v>15</v>
      </c>
    </row>
    <row r="68" spans="1:18" ht="15.6" x14ac:dyDescent="0.3">
      <c r="A68" s="621"/>
      <c r="B68" s="365" t="s">
        <v>202</v>
      </c>
      <c r="C68" s="470" t="s">
        <v>33</v>
      </c>
      <c r="D68" s="216">
        <f>D3</f>
        <v>2026</v>
      </c>
      <c r="E68" s="216">
        <f t="shared" ref="E68:R68" si="29">$D$3+D67</f>
        <v>2027</v>
      </c>
      <c r="F68" s="216">
        <f t="shared" si="29"/>
        <v>2028</v>
      </c>
      <c r="G68" s="216">
        <f t="shared" si="29"/>
        <v>2029</v>
      </c>
      <c r="H68" s="216">
        <f t="shared" si="29"/>
        <v>2030</v>
      </c>
      <c r="I68" s="216">
        <f t="shared" si="29"/>
        <v>2031</v>
      </c>
      <c r="J68" s="216">
        <f t="shared" si="29"/>
        <v>2032</v>
      </c>
      <c r="K68" s="216">
        <f t="shared" si="29"/>
        <v>2033</v>
      </c>
      <c r="L68" s="216">
        <f t="shared" si="29"/>
        <v>2034</v>
      </c>
      <c r="M68" s="216">
        <f t="shared" si="29"/>
        <v>2035</v>
      </c>
      <c r="N68" s="216">
        <f t="shared" si="29"/>
        <v>2036</v>
      </c>
      <c r="O68" s="216">
        <f t="shared" si="29"/>
        <v>2037</v>
      </c>
      <c r="P68" s="216">
        <f t="shared" si="29"/>
        <v>2038</v>
      </c>
      <c r="Q68" s="216">
        <f t="shared" si="29"/>
        <v>2039</v>
      </c>
      <c r="R68" s="220">
        <f t="shared" si="29"/>
        <v>2040</v>
      </c>
    </row>
    <row r="69" spans="1:18" x14ac:dyDescent="0.3">
      <c r="A69" s="621"/>
      <c r="B69" s="498" t="s">
        <v>124</v>
      </c>
      <c r="C69" s="499">
        <f>SUM(D69:R69)</f>
        <v>-2249310.5950795203</v>
      </c>
      <c r="D69" s="499">
        <f>-Alternatívy!$C$388-Alternatívy!$C$387-Alternatívy!$C$383</f>
        <v>-149954.039671968</v>
      </c>
      <c r="E69" s="499">
        <f>D69</f>
        <v>-149954.039671968</v>
      </c>
      <c r="F69" s="499">
        <f t="shared" ref="F69:R69" si="30">E69</f>
        <v>-149954.039671968</v>
      </c>
      <c r="G69" s="499">
        <f t="shared" si="30"/>
        <v>-149954.039671968</v>
      </c>
      <c r="H69" s="499">
        <f t="shared" si="30"/>
        <v>-149954.039671968</v>
      </c>
      <c r="I69" s="499">
        <f t="shared" si="30"/>
        <v>-149954.039671968</v>
      </c>
      <c r="J69" s="499">
        <f t="shared" si="30"/>
        <v>-149954.039671968</v>
      </c>
      <c r="K69" s="499">
        <f t="shared" si="30"/>
        <v>-149954.039671968</v>
      </c>
      <c r="L69" s="499">
        <f t="shared" si="30"/>
        <v>-149954.039671968</v>
      </c>
      <c r="M69" s="499">
        <f t="shared" si="30"/>
        <v>-149954.039671968</v>
      </c>
      <c r="N69" s="499">
        <f t="shared" si="30"/>
        <v>-149954.039671968</v>
      </c>
      <c r="O69" s="499">
        <f t="shared" si="30"/>
        <v>-149954.039671968</v>
      </c>
      <c r="P69" s="499">
        <f t="shared" si="30"/>
        <v>-149954.039671968</v>
      </c>
      <c r="Q69" s="499">
        <f t="shared" si="30"/>
        <v>-149954.039671968</v>
      </c>
      <c r="R69" s="500">
        <f t="shared" si="30"/>
        <v>-149954.039671968</v>
      </c>
    </row>
    <row r="70" spans="1:18" ht="14.4" thickBot="1" x14ac:dyDescent="0.35">
      <c r="A70" s="621"/>
      <c r="B70" s="498" t="s">
        <v>125</v>
      </c>
      <c r="C70" s="499">
        <f>SUM(D70:R70)</f>
        <v>-3242247.6268799999</v>
      </c>
      <c r="D70" s="499">
        <f>-Alternatívy!$C$381</f>
        <v>-216149.84179199999</v>
      </c>
      <c r="E70" s="499">
        <f t="shared" ref="E70:R70" si="31">D70</f>
        <v>-216149.84179199999</v>
      </c>
      <c r="F70" s="499">
        <f t="shared" si="31"/>
        <v>-216149.84179199999</v>
      </c>
      <c r="G70" s="499">
        <f t="shared" si="31"/>
        <v>-216149.84179199999</v>
      </c>
      <c r="H70" s="499">
        <f t="shared" si="31"/>
        <v>-216149.84179199999</v>
      </c>
      <c r="I70" s="499">
        <f t="shared" si="31"/>
        <v>-216149.84179199999</v>
      </c>
      <c r="J70" s="499">
        <f t="shared" si="31"/>
        <v>-216149.84179199999</v>
      </c>
      <c r="K70" s="499">
        <f t="shared" si="31"/>
        <v>-216149.84179199999</v>
      </c>
      <c r="L70" s="499">
        <f t="shared" si="31"/>
        <v>-216149.84179199999</v>
      </c>
      <c r="M70" s="499">
        <f t="shared" si="31"/>
        <v>-216149.84179199999</v>
      </c>
      <c r="N70" s="499">
        <f t="shared" si="31"/>
        <v>-216149.84179199999</v>
      </c>
      <c r="O70" s="499">
        <f t="shared" si="31"/>
        <v>-216149.84179199999</v>
      </c>
      <c r="P70" s="499">
        <f t="shared" si="31"/>
        <v>-216149.84179199999</v>
      </c>
      <c r="Q70" s="499">
        <f t="shared" si="31"/>
        <v>-216149.84179199999</v>
      </c>
      <c r="R70" s="500">
        <f t="shared" si="31"/>
        <v>-216149.84179199999</v>
      </c>
    </row>
    <row r="71" spans="1:18" ht="14.4" thickBot="1" x14ac:dyDescent="0.35">
      <c r="A71" s="621"/>
      <c r="B71" s="501" t="s">
        <v>57</v>
      </c>
      <c r="C71" s="502">
        <f>SUM(D71:R71)</f>
        <v>-5491558.2219595211</v>
      </c>
      <c r="D71" s="502">
        <f t="shared" ref="D71:R71" si="32">SUM(D69:D70)</f>
        <v>-366103.88146396796</v>
      </c>
      <c r="E71" s="502">
        <f t="shared" si="32"/>
        <v>-366103.88146396796</v>
      </c>
      <c r="F71" s="502">
        <f t="shared" si="32"/>
        <v>-366103.88146396796</v>
      </c>
      <c r="G71" s="502">
        <f t="shared" si="32"/>
        <v>-366103.88146396796</v>
      </c>
      <c r="H71" s="502">
        <f t="shared" si="32"/>
        <v>-366103.88146396796</v>
      </c>
      <c r="I71" s="502">
        <f t="shared" si="32"/>
        <v>-366103.88146396796</v>
      </c>
      <c r="J71" s="502">
        <f t="shared" si="32"/>
        <v>-366103.88146396796</v>
      </c>
      <c r="K71" s="502">
        <f t="shared" si="32"/>
        <v>-366103.88146396796</v>
      </c>
      <c r="L71" s="502">
        <f t="shared" si="32"/>
        <v>-366103.88146396796</v>
      </c>
      <c r="M71" s="502">
        <f t="shared" si="32"/>
        <v>-366103.88146396796</v>
      </c>
      <c r="N71" s="502">
        <f t="shared" si="32"/>
        <v>-366103.88146396796</v>
      </c>
      <c r="O71" s="502">
        <f t="shared" si="32"/>
        <v>-366103.88146396796</v>
      </c>
      <c r="P71" s="502">
        <f t="shared" si="32"/>
        <v>-366103.88146396796</v>
      </c>
      <c r="Q71" s="502">
        <f t="shared" si="32"/>
        <v>-366103.88146396796</v>
      </c>
      <c r="R71" s="503">
        <f t="shared" si="32"/>
        <v>-366103.88146396796</v>
      </c>
    </row>
    <row r="72" spans="1:18" x14ac:dyDescent="0.3">
      <c r="A72" s="621"/>
      <c r="B72" s="366"/>
      <c r="C72" s="217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8"/>
    </row>
    <row r="73" spans="1:18" x14ac:dyDescent="0.3">
      <c r="A73" s="621"/>
      <c r="B73" s="361"/>
      <c r="C73" s="44"/>
      <c r="D73" s="45">
        <v>1</v>
      </c>
      <c r="E73" s="45">
        <v>2</v>
      </c>
      <c r="F73" s="45">
        <v>3</v>
      </c>
      <c r="G73" s="45">
        <v>4</v>
      </c>
      <c r="H73" s="45">
        <v>5</v>
      </c>
      <c r="I73" s="45">
        <v>6</v>
      </c>
      <c r="J73" s="45">
        <v>7</v>
      </c>
      <c r="K73" s="45">
        <v>8</v>
      </c>
      <c r="L73" s="45">
        <v>9</v>
      </c>
      <c r="M73" s="45">
        <v>10</v>
      </c>
      <c r="N73" s="45">
        <v>11</v>
      </c>
      <c r="O73" s="45">
        <v>12</v>
      </c>
      <c r="P73" s="45">
        <v>13</v>
      </c>
      <c r="Q73" s="45">
        <v>14</v>
      </c>
      <c r="R73" s="219">
        <v>15</v>
      </c>
    </row>
    <row r="74" spans="1:18" ht="16.2" thickBot="1" x14ac:dyDescent="0.35">
      <c r="A74" s="621"/>
      <c r="B74" s="367" t="s">
        <v>203</v>
      </c>
      <c r="C74" s="469" t="s">
        <v>33</v>
      </c>
      <c r="D74" s="224">
        <f>D3</f>
        <v>2026</v>
      </c>
      <c r="E74" s="224">
        <f t="shared" ref="E74:R74" si="33">$D$3+D73</f>
        <v>2027</v>
      </c>
      <c r="F74" s="224">
        <f t="shared" si="33"/>
        <v>2028</v>
      </c>
      <c r="G74" s="224">
        <f t="shared" si="33"/>
        <v>2029</v>
      </c>
      <c r="H74" s="224">
        <f t="shared" si="33"/>
        <v>2030</v>
      </c>
      <c r="I74" s="224">
        <f t="shared" si="33"/>
        <v>2031</v>
      </c>
      <c r="J74" s="224">
        <f t="shared" si="33"/>
        <v>2032</v>
      </c>
      <c r="K74" s="224">
        <f t="shared" si="33"/>
        <v>2033</v>
      </c>
      <c r="L74" s="224">
        <f t="shared" si="33"/>
        <v>2034</v>
      </c>
      <c r="M74" s="224">
        <f t="shared" si="33"/>
        <v>2035</v>
      </c>
      <c r="N74" s="224">
        <f t="shared" si="33"/>
        <v>2036</v>
      </c>
      <c r="O74" s="224">
        <f t="shared" si="33"/>
        <v>2037</v>
      </c>
      <c r="P74" s="224">
        <f t="shared" si="33"/>
        <v>2038</v>
      </c>
      <c r="Q74" s="224">
        <f t="shared" si="33"/>
        <v>2039</v>
      </c>
      <c r="R74" s="225">
        <f t="shared" si="33"/>
        <v>2040</v>
      </c>
    </row>
    <row r="75" spans="1:18" x14ac:dyDescent="0.3">
      <c r="A75" s="621"/>
      <c r="B75" s="368"/>
      <c r="C75" s="228">
        <f t="shared" ref="C75:C76" si="34">SUM(D75:R75)</f>
        <v>0</v>
      </c>
      <c r="D75" s="226">
        <v>0</v>
      </c>
      <c r="E75" s="226">
        <f t="shared" ref="E75:R75" si="35">D75</f>
        <v>0</v>
      </c>
      <c r="F75" s="226">
        <f t="shared" si="35"/>
        <v>0</v>
      </c>
      <c r="G75" s="226">
        <f t="shared" si="35"/>
        <v>0</v>
      </c>
      <c r="H75" s="226">
        <f t="shared" si="35"/>
        <v>0</v>
      </c>
      <c r="I75" s="226">
        <f t="shared" si="35"/>
        <v>0</v>
      </c>
      <c r="J75" s="226">
        <f t="shared" si="35"/>
        <v>0</v>
      </c>
      <c r="K75" s="226">
        <f t="shared" si="35"/>
        <v>0</v>
      </c>
      <c r="L75" s="226">
        <f t="shared" si="35"/>
        <v>0</v>
      </c>
      <c r="M75" s="226">
        <f t="shared" si="35"/>
        <v>0</v>
      </c>
      <c r="N75" s="226">
        <f t="shared" si="35"/>
        <v>0</v>
      </c>
      <c r="O75" s="226">
        <f t="shared" si="35"/>
        <v>0</v>
      </c>
      <c r="P75" s="226">
        <f t="shared" si="35"/>
        <v>0</v>
      </c>
      <c r="Q75" s="226">
        <f t="shared" si="35"/>
        <v>0</v>
      </c>
      <c r="R75" s="227">
        <f t="shared" si="35"/>
        <v>0</v>
      </c>
    </row>
    <row r="76" spans="1:18" ht="14.4" thickBot="1" x14ac:dyDescent="0.35">
      <c r="A76" s="622"/>
      <c r="B76" s="369" t="s">
        <v>57</v>
      </c>
      <c r="C76" s="221">
        <f t="shared" si="34"/>
        <v>0</v>
      </c>
      <c r="D76" s="221">
        <f t="shared" ref="D76:R76" si="36">SUM(D75:D75)</f>
        <v>0</v>
      </c>
      <c r="E76" s="221">
        <f t="shared" si="36"/>
        <v>0</v>
      </c>
      <c r="F76" s="221">
        <f t="shared" si="36"/>
        <v>0</v>
      </c>
      <c r="G76" s="221">
        <f t="shared" si="36"/>
        <v>0</v>
      </c>
      <c r="H76" s="221">
        <f t="shared" si="36"/>
        <v>0</v>
      </c>
      <c r="I76" s="221">
        <f t="shared" si="36"/>
        <v>0</v>
      </c>
      <c r="J76" s="221">
        <f t="shared" si="36"/>
        <v>0</v>
      </c>
      <c r="K76" s="221">
        <f t="shared" si="36"/>
        <v>0</v>
      </c>
      <c r="L76" s="221">
        <f t="shared" si="36"/>
        <v>0</v>
      </c>
      <c r="M76" s="221">
        <f t="shared" si="36"/>
        <v>0</v>
      </c>
      <c r="N76" s="221">
        <f t="shared" si="36"/>
        <v>0</v>
      </c>
      <c r="O76" s="221">
        <f t="shared" si="36"/>
        <v>0</v>
      </c>
      <c r="P76" s="221">
        <f t="shared" si="36"/>
        <v>0</v>
      </c>
      <c r="Q76" s="221">
        <f t="shared" si="36"/>
        <v>0</v>
      </c>
      <c r="R76" s="222">
        <f t="shared" si="36"/>
        <v>0</v>
      </c>
    </row>
    <row r="77" spans="1:18" ht="14.4" thickBot="1" x14ac:dyDescent="0.35"/>
    <row r="78" spans="1:18" ht="16.2" thickBot="1" x14ac:dyDescent="0.35">
      <c r="B78" s="453" t="s">
        <v>277</v>
      </c>
      <c r="C78" s="451">
        <f t="shared" ref="C78:R78" si="37">SUM(C76,C71,C65,C56)</f>
        <v>-95909257.221959531</v>
      </c>
      <c r="D78" s="451">
        <f t="shared" si="37"/>
        <v>-6393950.4814639678</v>
      </c>
      <c r="E78" s="451">
        <f t="shared" si="37"/>
        <v>-6393950.4814639678</v>
      </c>
      <c r="F78" s="451">
        <f t="shared" si="37"/>
        <v>-6393950.4814639678</v>
      </c>
      <c r="G78" s="451">
        <f t="shared" si="37"/>
        <v>-6393950.4814639678</v>
      </c>
      <c r="H78" s="451">
        <f t="shared" si="37"/>
        <v>-6393950.4814639678</v>
      </c>
      <c r="I78" s="451">
        <f t="shared" si="37"/>
        <v>-6393950.4814639678</v>
      </c>
      <c r="J78" s="451">
        <f t="shared" si="37"/>
        <v>-6393950.4814639678</v>
      </c>
      <c r="K78" s="451">
        <f t="shared" si="37"/>
        <v>-6393950.4814639678</v>
      </c>
      <c r="L78" s="451">
        <f t="shared" si="37"/>
        <v>-6393950.4814639678</v>
      </c>
      <c r="M78" s="451">
        <f t="shared" si="37"/>
        <v>-6393950.4814639678</v>
      </c>
      <c r="N78" s="451">
        <f t="shared" si="37"/>
        <v>-6393950.4814639678</v>
      </c>
      <c r="O78" s="451">
        <f t="shared" si="37"/>
        <v>-6393950.4814639678</v>
      </c>
      <c r="P78" s="451">
        <f t="shared" si="37"/>
        <v>-6393950.4814639678</v>
      </c>
      <c r="Q78" s="451">
        <f t="shared" si="37"/>
        <v>-6393950.4814639678</v>
      </c>
      <c r="R78" s="452">
        <f t="shared" si="37"/>
        <v>-6393950.4814639678</v>
      </c>
    </row>
    <row r="79" spans="1:18" ht="15.6" x14ac:dyDescent="0.3">
      <c r="B79" s="460"/>
      <c r="C79" s="461"/>
      <c r="D79" s="461"/>
      <c r="E79" s="461"/>
      <c r="F79" s="461"/>
      <c r="G79" s="461"/>
      <c r="H79" s="461"/>
      <c r="I79" s="461"/>
      <c r="J79" s="461"/>
      <c r="K79" s="461"/>
      <c r="L79" s="461"/>
      <c r="M79" s="461"/>
      <c r="N79" s="461"/>
      <c r="O79" s="461"/>
      <c r="P79" s="461"/>
      <c r="Q79" s="461"/>
      <c r="R79" s="461"/>
    </row>
    <row r="80" spans="1:18" ht="14.4" thickBot="1" x14ac:dyDescent="0.35">
      <c r="A80" s="623"/>
      <c r="B80" s="626"/>
      <c r="C80" s="38"/>
      <c r="D80" s="39">
        <v>1</v>
      </c>
      <c r="E80" s="39">
        <v>2</v>
      </c>
      <c r="F80" s="39">
        <v>3</v>
      </c>
      <c r="G80" s="39">
        <v>4</v>
      </c>
      <c r="H80" s="39">
        <v>5</v>
      </c>
      <c r="I80" s="39">
        <v>6</v>
      </c>
      <c r="J80" s="39">
        <v>7</v>
      </c>
      <c r="K80" s="39">
        <v>8</v>
      </c>
      <c r="L80" s="39">
        <v>9</v>
      </c>
      <c r="M80" s="39">
        <v>10</v>
      </c>
      <c r="N80" s="39">
        <v>11</v>
      </c>
      <c r="O80" s="39">
        <v>12</v>
      </c>
      <c r="P80" s="39">
        <v>13</v>
      </c>
      <c r="Q80" s="39">
        <v>14</v>
      </c>
      <c r="R80" s="39">
        <v>15</v>
      </c>
    </row>
    <row r="81" spans="1:18" s="40" customFormat="1" ht="16.8" thickTop="1" thickBot="1" x14ac:dyDescent="0.35">
      <c r="A81" s="619" t="s">
        <v>145</v>
      </c>
      <c r="B81" s="506" t="s">
        <v>152</v>
      </c>
      <c r="C81" s="507" t="s">
        <v>33</v>
      </c>
      <c r="D81" s="508">
        <f>D59</f>
        <v>2026</v>
      </c>
      <c r="E81" s="508">
        <f t="shared" ref="E81:R81" si="38">$D$3+D80</f>
        <v>2027</v>
      </c>
      <c r="F81" s="508">
        <f t="shared" si="38"/>
        <v>2028</v>
      </c>
      <c r="G81" s="509">
        <f t="shared" si="38"/>
        <v>2029</v>
      </c>
      <c r="H81" s="508">
        <f t="shared" si="38"/>
        <v>2030</v>
      </c>
      <c r="I81" s="508">
        <f t="shared" si="38"/>
        <v>2031</v>
      </c>
      <c r="J81" s="508">
        <f t="shared" si="38"/>
        <v>2032</v>
      </c>
      <c r="K81" s="508">
        <f t="shared" si="38"/>
        <v>2033</v>
      </c>
      <c r="L81" s="508">
        <f t="shared" si="38"/>
        <v>2034</v>
      </c>
      <c r="M81" s="508">
        <f t="shared" si="38"/>
        <v>2035</v>
      </c>
      <c r="N81" s="508">
        <f t="shared" si="38"/>
        <v>2036</v>
      </c>
      <c r="O81" s="508">
        <f t="shared" si="38"/>
        <v>2037</v>
      </c>
      <c r="P81" s="508">
        <f t="shared" si="38"/>
        <v>2038</v>
      </c>
      <c r="Q81" s="508">
        <f t="shared" si="38"/>
        <v>2039</v>
      </c>
      <c r="R81" s="510">
        <f t="shared" si="38"/>
        <v>2040</v>
      </c>
    </row>
    <row r="82" spans="1:18" ht="12.75" customHeight="1" x14ac:dyDescent="0.3">
      <c r="A82" s="620"/>
      <c r="B82" s="516" t="s">
        <v>9</v>
      </c>
      <c r="C82" s="517">
        <f>SUM(D82:R82)</f>
        <v>-23272692</v>
      </c>
      <c r="D82" s="517">
        <f>-Alternatívy!$E$307</f>
        <v>-1287720</v>
      </c>
      <c r="E82" s="517">
        <f>-Alternatívy!$F$307</f>
        <v>-1395468</v>
      </c>
      <c r="F82" s="517">
        <f>-Alternatívy!$G$307</f>
        <v>-1583808</v>
      </c>
      <c r="G82" s="517">
        <f t="shared" ref="G82:R82" si="39">F82</f>
        <v>-1583808</v>
      </c>
      <c r="H82" s="517">
        <f t="shared" si="39"/>
        <v>-1583808</v>
      </c>
      <c r="I82" s="517">
        <f t="shared" si="39"/>
        <v>-1583808</v>
      </c>
      <c r="J82" s="517">
        <f t="shared" si="39"/>
        <v>-1583808</v>
      </c>
      <c r="K82" s="517">
        <f t="shared" si="39"/>
        <v>-1583808</v>
      </c>
      <c r="L82" s="517">
        <f t="shared" si="39"/>
        <v>-1583808</v>
      </c>
      <c r="M82" s="517">
        <f t="shared" si="39"/>
        <v>-1583808</v>
      </c>
      <c r="N82" s="517">
        <f t="shared" si="39"/>
        <v>-1583808</v>
      </c>
      <c r="O82" s="517">
        <f t="shared" si="39"/>
        <v>-1583808</v>
      </c>
      <c r="P82" s="517">
        <f t="shared" si="39"/>
        <v>-1583808</v>
      </c>
      <c r="Q82" s="517">
        <f t="shared" si="39"/>
        <v>-1583808</v>
      </c>
      <c r="R82" s="518">
        <f t="shared" si="39"/>
        <v>-1583808</v>
      </c>
    </row>
    <row r="83" spans="1:18" ht="12.75" customHeight="1" x14ac:dyDescent="0.3">
      <c r="A83" s="620"/>
      <c r="B83" s="519" t="s">
        <v>54</v>
      </c>
      <c r="C83" s="417">
        <f>SUM(D83:R83)</f>
        <v>-1992600</v>
      </c>
      <c r="D83" s="417">
        <f>-Alternatívy!$C$330</f>
        <v>-132840</v>
      </c>
      <c r="E83" s="417">
        <f>-Alternatívy!$C$330</f>
        <v>-132840</v>
      </c>
      <c r="F83" s="417">
        <f>-Alternatívy!$C$330</f>
        <v>-132840</v>
      </c>
      <c r="G83" s="417">
        <f>-Alternatívy!$C$330</f>
        <v>-132840</v>
      </c>
      <c r="H83" s="417">
        <f>-Alternatívy!$C$330</f>
        <v>-132840</v>
      </c>
      <c r="I83" s="417">
        <f>-Alternatívy!$C$330</f>
        <v>-132840</v>
      </c>
      <c r="J83" s="417">
        <f>-Alternatívy!$C$330</f>
        <v>-132840</v>
      </c>
      <c r="K83" s="417">
        <f>-Alternatívy!$C$330</f>
        <v>-132840</v>
      </c>
      <c r="L83" s="417">
        <f>-Alternatívy!$C$330</f>
        <v>-132840</v>
      </c>
      <c r="M83" s="417">
        <f>-Alternatívy!$C$330</f>
        <v>-132840</v>
      </c>
      <c r="N83" s="417">
        <f>-Alternatívy!$C$330</f>
        <v>-132840</v>
      </c>
      <c r="O83" s="417">
        <f>-Alternatívy!$C$330</f>
        <v>-132840</v>
      </c>
      <c r="P83" s="417">
        <f>-Alternatívy!$C$330</f>
        <v>-132840</v>
      </c>
      <c r="Q83" s="417">
        <f>-Alternatívy!$C$330</f>
        <v>-132840</v>
      </c>
      <c r="R83" s="419">
        <f>-Alternatívy!$C$330</f>
        <v>-132840</v>
      </c>
    </row>
    <row r="84" spans="1:18" ht="12.75" customHeight="1" x14ac:dyDescent="0.3">
      <c r="A84" s="620"/>
      <c r="B84" s="519" t="s">
        <v>55</v>
      </c>
      <c r="C84" s="417">
        <f>SUM(D84:R84)</f>
        <v>-5978700</v>
      </c>
      <c r="D84" s="417">
        <f>-Alternatívy!$C$316</f>
        <v>-398580</v>
      </c>
      <c r="E84" s="417">
        <f>-Alternatívy!$C$316</f>
        <v>-398580</v>
      </c>
      <c r="F84" s="417">
        <f>-Alternatívy!$C$316</f>
        <v>-398580</v>
      </c>
      <c r="G84" s="417">
        <f>-Alternatívy!$C$316</f>
        <v>-398580</v>
      </c>
      <c r="H84" s="417">
        <f>-Alternatívy!$C$316</f>
        <v>-398580</v>
      </c>
      <c r="I84" s="417">
        <f>-Alternatívy!$C$316</f>
        <v>-398580</v>
      </c>
      <c r="J84" s="417">
        <f>-Alternatívy!$C$316</f>
        <v>-398580</v>
      </c>
      <c r="K84" s="417">
        <f>-Alternatívy!$C$316</f>
        <v>-398580</v>
      </c>
      <c r="L84" s="417">
        <f>-Alternatívy!$C$316</f>
        <v>-398580</v>
      </c>
      <c r="M84" s="417">
        <f>-Alternatívy!$C$316</f>
        <v>-398580</v>
      </c>
      <c r="N84" s="417">
        <f>-Alternatívy!$C$316</f>
        <v>-398580</v>
      </c>
      <c r="O84" s="417">
        <f>-Alternatívy!$C$316</f>
        <v>-398580</v>
      </c>
      <c r="P84" s="417">
        <f>-Alternatívy!$C$316</f>
        <v>-398580</v>
      </c>
      <c r="Q84" s="417">
        <f>-Alternatívy!$C$316</f>
        <v>-398580</v>
      </c>
      <c r="R84" s="419">
        <f>-Alternatívy!$C$316</f>
        <v>-398580</v>
      </c>
    </row>
    <row r="85" spans="1:18" ht="12.75" customHeight="1" thickBot="1" x14ac:dyDescent="0.35">
      <c r="A85" s="620"/>
      <c r="B85" s="520" t="s">
        <v>56</v>
      </c>
      <c r="C85" s="521">
        <f>SUM(D85:R85)</f>
        <v>-1616220</v>
      </c>
      <c r="D85" s="521">
        <f>-Alternatívy!$C$314</f>
        <v>-107748</v>
      </c>
      <c r="E85" s="521">
        <f>-Alternatívy!$C$314</f>
        <v>-107748</v>
      </c>
      <c r="F85" s="521">
        <f>-Alternatívy!$C$314</f>
        <v>-107748</v>
      </c>
      <c r="G85" s="521">
        <f>-Alternatívy!$C$314</f>
        <v>-107748</v>
      </c>
      <c r="H85" s="521">
        <f>-Alternatívy!$C$314</f>
        <v>-107748</v>
      </c>
      <c r="I85" s="521">
        <f>-Alternatívy!$C$314</f>
        <v>-107748</v>
      </c>
      <c r="J85" s="521">
        <f>-Alternatívy!$C$314</f>
        <v>-107748</v>
      </c>
      <c r="K85" s="521">
        <f>-Alternatívy!$C$314</f>
        <v>-107748</v>
      </c>
      <c r="L85" s="521">
        <f>-Alternatívy!$C$314</f>
        <v>-107748</v>
      </c>
      <c r="M85" s="521">
        <f>-Alternatívy!$C$314</f>
        <v>-107748</v>
      </c>
      <c r="N85" s="521">
        <f>-Alternatívy!$C$314</f>
        <v>-107748</v>
      </c>
      <c r="O85" s="521">
        <f>-Alternatívy!$C$314</f>
        <v>-107748</v>
      </c>
      <c r="P85" s="521">
        <f>-Alternatívy!$C$314</f>
        <v>-107748</v>
      </c>
      <c r="Q85" s="521">
        <f>-Alternatívy!$C$314</f>
        <v>-107748</v>
      </c>
      <c r="R85" s="522">
        <f>-Alternatívy!$C$314</f>
        <v>-107748</v>
      </c>
    </row>
    <row r="86" spans="1:18" ht="13.5" customHeight="1" thickBot="1" x14ac:dyDescent="0.35">
      <c r="A86" s="621"/>
      <c r="B86" s="511" t="s">
        <v>57</v>
      </c>
      <c r="C86" s="512">
        <f>SUM(D86:R86)</f>
        <v>-32860212</v>
      </c>
      <c r="D86" s="513">
        <f>SUM(D82:D85)</f>
        <v>-1926888</v>
      </c>
      <c r="E86" s="513">
        <f t="shared" ref="E86:R86" si="40">SUM(E82:E85)</f>
        <v>-2034636</v>
      </c>
      <c r="F86" s="513">
        <f t="shared" si="40"/>
        <v>-2222976</v>
      </c>
      <c r="G86" s="514">
        <f t="shared" si="40"/>
        <v>-2222976</v>
      </c>
      <c r="H86" s="513">
        <f t="shared" si="40"/>
        <v>-2222976</v>
      </c>
      <c r="I86" s="513">
        <f t="shared" si="40"/>
        <v>-2222976</v>
      </c>
      <c r="J86" s="513">
        <f t="shared" si="40"/>
        <v>-2222976</v>
      </c>
      <c r="K86" s="513">
        <f t="shared" si="40"/>
        <v>-2222976</v>
      </c>
      <c r="L86" s="513">
        <f t="shared" si="40"/>
        <v>-2222976</v>
      </c>
      <c r="M86" s="513">
        <f t="shared" si="40"/>
        <v>-2222976</v>
      </c>
      <c r="N86" s="513">
        <f t="shared" si="40"/>
        <v>-2222976</v>
      </c>
      <c r="O86" s="513">
        <f t="shared" si="40"/>
        <v>-2222976</v>
      </c>
      <c r="P86" s="513">
        <f t="shared" si="40"/>
        <v>-2222976</v>
      </c>
      <c r="Q86" s="513">
        <f t="shared" si="40"/>
        <v>-2222976</v>
      </c>
      <c r="R86" s="515">
        <f t="shared" si="40"/>
        <v>-2222976</v>
      </c>
    </row>
    <row r="87" spans="1:18" ht="13.5" customHeight="1" x14ac:dyDescent="0.3">
      <c r="A87" s="621"/>
      <c r="B87" s="421"/>
      <c r="C87" s="421"/>
      <c r="D87" s="421"/>
      <c r="E87" s="421"/>
      <c r="F87" s="421"/>
      <c r="G87" s="421"/>
      <c r="H87" s="421"/>
      <c r="I87" s="421"/>
      <c r="J87" s="421"/>
      <c r="K87" s="421"/>
      <c r="L87" s="421"/>
      <c r="M87" s="421"/>
      <c r="N87" s="421"/>
      <c r="O87" s="421"/>
      <c r="P87" s="421"/>
      <c r="Q87" s="421"/>
      <c r="R87" s="462"/>
    </row>
    <row r="88" spans="1:18" ht="13.5" customHeight="1" thickBot="1" x14ac:dyDescent="0.35">
      <c r="A88" s="621"/>
      <c r="B88" s="520" t="s">
        <v>284</v>
      </c>
      <c r="C88" s="521">
        <f>SUM(D88:R88)</f>
        <v>249999.99999999994</v>
      </c>
      <c r="D88" s="521">
        <f>'Fit out contribution'!$D$8</f>
        <v>16666.666666666668</v>
      </c>
      <c r="E88" s="521">
        <f>'Fit out contribution'!$D$8</f>
        <v>16666.666666666668</v>
      </c>
      <c r="F88" s="521">
        <f>'Fit out contribution'!$D$8</f>
        <v>16666.666666666668</v>
      </c>
      <c r="G88" s="521">
        <f>'Fit out contribution'!$D$8</f>
        <v>16666.666666666668</v>
      </c>
      <c r="H88" s="521">
        <f>'Fit out contribution'!$D$8</f>
        <v>16666.666666666668</v>
      </c>
      <c r="I88" s="521">
        <f>'Fit out contribution'!$D$8</f>
        <v>16666.666666666668</v>
      </c>
      <c r="J88" s="521">
        <f>'Fit out contribution'!$D$8</f>
        <v>16666.666666666668</v>
      </c>
      <c r="K88" s="521">
        <f>'Fit out contribution'!$D$8</f>
        <v>16666.666666666668</v>
      </c>
      <c r="L88" s="521">
        <f>'Fit out contribution'!$D$8</f>
        <v>16666.666666666668</v>
      </c>
      <c r="M88" s="521">
        <f>'Fit out contribution'!$D$8</f>
        <v>16666.666666666668</v>
      </c>
      <c r="N88" s="521">
        <f>'Fit out contribution'!$D$8</f>
        <v>16666.666666666668</v>
      </c>
      <c r="O88" s="521">
        <f>'Fit out contribution'!$D$8</f>
        <v>16666.666666666668</v>
      </c>
      <c r="P88" s="521">
        <f>'Fit out contribution'!$D$8</f>
        <v>16666.666666666668</v>
      </c>
      <c r="Q88" s="521">
        <f>'Fit out contribution'!$D$8</f>
        <v>16666.666666666668</v>
      </c>
      <c r="R88" s="522">
        <f>'Fit out contribution'!$D$8</f>
        <v>16666.666666666668</v>
      </c>
    </row>
    <row r="89" spans="1:18" ht="13.5" customHeight="1" thickBot="1" x14ac:dyDescent="0.35">
      <c r="A89" s="621"/>
      <c r="B89" s="511" t="s">
        <v>285</v>
      </c>
      <c r="C89" s="512">
        <f>SUM(C86,C88)</f>
        <v>-32610212</v>
      </c>
      <c r="D89" s="512">
        <f t="shared" ref="D89:R89" si="41">SUM(D86,D88)</f>
        <v>-1910221.3333333333</v>
      </c>
      <c r="E89" s="512">
        <f t="shared" si="41"/>
        <v>-2017969.3333333333</v>
      </c>
      <c r="F89" s="512">
        <f t="shared" si="41"/>
        <v>-2206309.3333333335</v>
      </c>
      <c r="G89" s="512">
        <f t="shared" si="41"/>
        <v>-2206309.3333333335</v>
      </c>
      <c r="H89" s="512">
        <f t="shared" si="41"/>
        <v>-2206309.3333333335</v>
      </c>
      <c r="I89" s="512">
        <f t="shared" si="41"/>
        <v>-2206309.3333333335</v>
      </c>
      <c r="J89" s="512">
        <f t="shared" si="41"/>
        <v>-2206309.3333333335</v>
      </c>
      <c r="K89" s="512">
        <f t="shared" si="41"/>
        <v>-2206309.3333333335</v>
      </c>
      <c r="L89" s="512">
        <f t="shared" si="41"/>
        <v>-2206309.3333333335</v>
      </c>
      <c r="M89" s="512">
        <f t="shared" si="41"/>
        <v>-2206309.3333333335</v>
      </c>
      <c r="N89" s="512">
        <f t="shared" si="41"/>
        <v>-2206309.3333333335</v>
      </c>
      <c r="O89" s="512">
        <f t="shared" si="41"/>
        <v>-2206309.3333333335</v>
      </c>
      <c r="P89" s="512">
        <f t="shared" si="41"/>
        <v>-2206309.3333333335</v>
      </c>
      <c r="Q89" s="512">
        <f t="shared" si="41"/>
        <v>-2206309.3333333335</v>
      </c>
      <c r="R89" s="512">
        <f t="shared" si="41"/>
        <v>-2206309.3333333335</v>
      </c>
    </row>
    <row r="90" spans="1:18" ht="13.5" customHeight="1" x14ac:dyDescent="0.3">
      <c r="A90" s="621"/>
      <c r="B90" s="44"/>
      <c r="C90" s="44"/>
      <c r="D90" s="45">
        <v>1</v>
      </c>
      <c r="E90" s="45">
        <v>2</v>
      </c>
      <c r="F90" s="45">
        <v>3</v>
      </c>
      <c r="G90" s="45">
        <v>4</v>
      </c>
      <c r="H90" s="45">
        <v>5</v>
      </c>
      <c r="I90" s="45">
        <v>6</v>
      </c>
      <c r="J90" s="45">
        <v>7</v>
      </c>
      <c r="K90" s="45">
        <v>8</v>
      </c>
      <c r="L90" s="45">
        <v>9</v>
      </c>
      <c r="M90" s="45">
        <v>10</v>
      </c>
      <c r="N90" s="45">
        <v>11</v>
      </c>
      <c r="O90" s="45">
        <v>12</v>
      </c>
      <c r="P90" s="45">
        <v>13</v>
      </c>
      <c r="Q90" s="45">
        <v>14</v>
      </c>
      <c r="R90" s="46">
        <v>15</v>
      </c>
    </row>
    <row r="91" spans="1:18" ht="16.2" thickBot="1" x14ac:dyDescent="0.35">
      <c r="A91" s="621"/>
      <c r="B91" s="523" t="s">
        <v>151</v>
      </c>
      <c r="C91" s="524" t="s">
        <v>33</v>
      </c>
      <c r="D91" s="525">
        <f>D81</f>
        <v>2026</v>
      </c>
      <c r="E91" s="525">
        <f t="shared" ref="E91:R91" si="42">$D$3+D90</f>
        <v>2027</v>
      </c>
      <c r="F91" s="525">
        <f t="shared" si="42"/>
        <v>2028</v>
      </c>
      <c r="G91" s="526">
        <f t="shared" si="42"/>
        <v>2029</v>
      </c>
      <c r="H91" s="525">
        <f t="shared" si="42"/>
        <v>2030</v>
      </c>
      <c r="I91" s="525">
        <f t="shared" si="42"/>
        <v>2031</v>
      </c>
      <c r="J91" s="525">
        <f t="shared" si="42"/>
        <v>2032</v>
      </c>
      <c r="K91" s="525">
        <f t="shared" si="42"/>
        <v>2033</v>
      </c>
      <c r="L91" s="525">
        <f t="shared" si="42"/>
        <v>2034</v>
      </c>
      <c r="M91" s="525">
        <f t="shared" si="42"/>
        <v>2035</v>
      </c>
      <c r="N91" s="525">
        <f t="shared" si="42"/>
        <v>2036</v>
      </c>
      <c r="O91" s="525">
        <f t="shared" si="42"/>
        <v>2037</v>
      </c>
      <c r="P91" s="525">
        <f t="shared" si="42"/>
        <v>2038</v>
      </c>
      <c r="Q91" s="525">
        <f t="shared" si="42"/>
        <v>2039</v>
      </c>
      <c r="R91" s="527">
        <f t="shared" si="42"/>
        <v>2040</v>
      </c>
    </row>
    <row r="92" spans="1:18" ht="12.75" customHeight="1" x14ac:dyDescent="0.3">
      <c r="A92" s="620"/>
      <c r="B92" s="532" t="s">
        <v>9</v>
      </c>
      <c r="C92" s="533">
        <f t="shared" ref="C92:C97" si="43">SUM(D92:R92)</f>
        <v>-26956800</v>
      </c>
      <c r="D92" s="533">
        <f>-Alternatívy!$E$345</f>
        <v>-1491359.9999999998</v>
      </c>
      <c r="E92" s="533">
        <f>-Alternatívy!$F$345</f>
        <v>-1616160</v>
      </c>
      <c r="F92" s="533">
        <f>-Alternatívy!$G$345</f>
        <v>-1834560</v>
      </c>
      <c r="G92" s="533">
        <f t="shared" ref="G92:R92" si="44">F92</f>
        <v>-1834560</v>
      </c>
      <c r="H92" s="533">
        <f t="shared" si="44"/>
        <v>-1834560</v>
      </c>
      <c r="I92" s="533">
        <f t="shared" si="44"/>
        <v>-1834560</v>
      </c>
      <c r="J92" s="533">
        <f t="shared" si="44"/>
        <v>-1834560</v>
      </c>
      <c r="K92" s="533">
        <f t="shared" si="44"/>
        <v>-1834560</v>
      </c>
      <c r="L92" s="533">
        <f t="shared" si="44"/>
        <v>-1834560</v>
      </c>
      <c r="M92" s="533">
        <f t="shared" si="44"/>
        <v>-1834560</v>
      </c>
      <c r="N92" s="533">
        <f t="shared" si="44"/>
        <v>-1834560</v>
      </c>
      <c r="O92" s="533">
        <f t="shared" si="44"/>
        <v>-1834560</v>
      </c>
      <c r="P92" s="533">
        <f t="shared" si="44"/>
        <v>-1834560</v>
      </c>
      <c r="Q92" s="533">
        <f t="shared" si="44"/>
        <v>-1834560</v>
      </c>
      <c r="R92" s="534">
        <f t="shared" si="44"/>
        <v>-1834560</v>
      </c>
    </row>
    <row r="93" spans="1:18" ht="12.75" customHeight="1" x14ac:dyDescent="0.3">
      <c r="A93" s="620"/>
      <c r="B93" s="535" t="s">
        <v>54</v>
      </c>
      <c r="C93" s="373">
        <f t="shared" si="43"/>
        <v>-1854000</v>
      </c>
      <c r="D93" s="373">
        <f>-Alternatívy!$C$368</f>
        <v>-123600</v>
      </c>
      <c r="E93" s="373">
        <f>-Alternatívy!$C$368</f>
        <v>-123600</v>
      </c>
      <c r="F93" s="373">
        <f>-Alternatívy!$C$368</f>
        <v>-123600</v>
      </c>
      <c r="G93" s="373">
        <f>-Alternatívy!$C$368</f>
        <v>-123600</v>
      </c>
      <c r="H93" s="373">
        <f>-Alternatívy!$C$368</f>
        <v>-123600</v>
      </c>
      <c r="I93" s="373">
        <f>-Alternatívy!$C$368</f>
        <v>-123600</v>
      </c>
      <c r="J93" s="373">
        <f>-Alternatívy!$C$368</f>
        <v>-123600</v>
      </c>
      <c r="K93" s="373">
        <f>-Alternatívy!$C$368</f>
        <v>-123600</v>
      </c>
      <c r="L93" s="373">
        <f>-Alternatívy!$C$368</f>
        <v>-123600</v>
      </c>
      <c r="M93" s="373">
        <f>-Alternatívy!$C$368</f>
        <v>-123600</v>
      </c>
      <c r="N93" s="373">
        <f>-Alternatívy!$C$368</f>
        <v>-123600</v>
      </c>
      <c r="O93" s="373">
        <f>-Alternatívy!$C$368</f>
        <v>-123600</v>
      </c>
      <c r="P93" s="373">
        <f>-Alternatívy!$C$368</f>
        <v>-123600</v>
      </c>
      <c r="Q93" s="373">
        <f>-Alternatívy!$C$368</f>
        <v>-123600</v>
      </c>
      <c r="R93" s="382">
        <f>-Alternatívy!$C$368</f>
        <v>-123600</v>
      </c>
    </row>
    <row r="94" spans="1:18" ht="12.75" customHeight="1" x14ac:dyDescent="0.3">
      <c r="A94" s="620"/>
      <c r="B94" s="535" t="s">
        <v>55</v>
      </c>
      <c r="C94" s="373">
        <f t="shared" si="43"/>
        <v>-7059600</v>
      </c>
      <c r="D94" s="373">
        <f>-Alternatívy!$C$354</f>
        <v>-470640</v>
      </c>
      <c r="E94" s="373">
        <f>-Alternatívy!$C$354</f>
        <v>-470640</v>
      </c>
      <c r="F94" s="373">
        <f>-Alternatívy!$C$354</f>
        <v>-470640</v>
      </c>
      <c r="G94" s="373">
        <f>-Alternatívy!$C$354</f>
        <v>-470640</v>
      </c>
      <c r="H94" s="373">
        <f>-Alternatívy!$C$354</f>
        <v>-470640</v>
      </c>
      <c r="I94" s="373">
        <f>-Alternatívy!$C$354</f>
        <v>-470640</v>
      </c>
      <c r="J94" s="373">
        <f>-Alternatívy!$C$354</f>
        <v>-470640</v>
      </c>
      <c r="K94" s="373">
        <f>-Alternatívy!$C$354</f>
        <v>-470640</v>
      </c>
      <c r="L94" s="373">
        <f>-Alternatívy!$C$354</f>
        <v>-470640</v>
      </c>
      <c r="M94" s="373">
        <f>-Alternatívy!$C$354</f>
        <v>-470640</v>
      </c>
      <c r="N94" s="373">
        <f>-Alternatívy!$C$354</f>
        <v>-470640</v>
      </c>
      <c r="O94" s="373">
        <f>-Alternatívy!$C$354</f>
        <v>-470640</v>
      </c>
      <c r="P94" s="373">
        <f>-Alternatívy!$C$354</f>
        <v>-470640</v>
      </c>
      <c r="Q94" s="373">
        <f>-Alternatívy!$C$354</f>
        <v>-470640</v>
      </c>
      <c r="R94" s="382">
        <f>-Alternatívy!$C$354</f>
        <v>-470640</v>
      </c>
    </row>
    <row r="95" spans="1:18" ht="12.75" customHeight="1" x14ac:dyDescent="0.3">
      <c r="A95" s="620"/>
      <c r="B95" s="535" t="s">
        <v>56</v>
      </c>
      <c r="C95" s="373">
        <f t="shared" si="43"/>
        <v>-1908000</v>
      </c>
      <c r="D95" s="373">
        <f>-Alternatívy!$C$352</f>
        <v>-127200</v>
      </c>
      <c r="E95" s="373">
        <f>-Alternatívy!$C$352</f>
        <v>-127200</v>
      </c>
      <c r="F95" s="373">
        <f>-Alternatívy!$C$352</f>
        <v>-127200</v>
      </c>
      <c r="G95" s="373">
        <f>-Alternatívy!$C$352</f>
        <v>-127200</v>
      </c>
      <c r="H95" s="373">
        <f>-Alternatívy!$C$352</f>
        <v>-127200</v>
      </c>
      <c r="I95" s="373">
        <f>-Alternatívy!$C$352</f>
        <v>-127200</v>
      </c>
      <c r="J95" s="373">
        <f>-Alternatívy!$C$352</f>
        <v>-127200</v>
      </c>
      <c r="K95" s="373">
        <f>-Alternatívy!$C$352</f>
        <v>-127200</v>
      </c>
      <c r="L95" s="373">
        <f>-Alternatívy!$C$352</f>
        <v>-127200</v>
      </c>
      <c r="M95" s="373">
        <f>-Alternatívy!$C$352</f>
        <v>-127200</v>
      </c>
      <c r="N95" s="373">
        <f>-Alternatívy!$C$352</f>
        <v>-127200</v>
      </c>
      <c r="O95" s="373">
        <f>-Alternatívy!$C$352</f>
        <v>-127200</v>
      </c>
      <c r="P95" s="373">
        <f>-Alternatívy!$C$352</f>
        <v>-127200</v>
      </c>
      <c r="Q95" s="373">
        <f>-Alternatívy!$C$352</f>
        <v>-127200</v>
      </c>
      <c r="R95" s="382">
        <f>-Alternatívy!$C$352</f>
        <v>-127200</v>
      </c>
    </row>
    <row r="96" spans="1:18" ht="13.5" customHeight="1" thickBot="1" x14ac:dyDescent="0.35">
      <c r="A96" s="620"/>
      <c r="B96" s="536" t="s">
        <v>213</v>
      </c>
      <c r="C96" s="537">
        <f t="shared" si="43"/>
        <v>-37778400</v>
      </c>
      <c r="D96" s="537">
        <f>SUM(D92:D95)</f>
        <v>-2212800</v>
      </c>
      <c r="E96" s="537">
        <f t="shared" ref="E96:R96" si="45">SUM(E92:E95)</f>
        <v>-2337600</v>
      </c>
      <c r="F96" s="537">
        <f t="shared" si="45"/>
        <v>-2556000</v>
      </c>
      <c r="G96" s="537">
        <f t="shared" si="45"/>
        <v>-2556000</v>
      </c>
      <c r="H96" s="537">
        <f t="shared" si="45"/>
        <v>-2556000</v>
      </c>
      <c r="I96" s="537">
        <f t="shared" si="45"/>
        <v>-2556000</v>
      </c>
      <c r="J96" s="537">
        <f t="shared" si="45"/>
        <v>-2556000</v>
      </c>
      <c r="K96" s="537">
        <f t="shared" si="45"/>
        <v>-2556000</v>
      </c>
      <c r="L96" s="537">
        <f t="shared" si="45"/>
        <v>-2556000</v>
      </c>
      <c r="M96" s="537">
        <f t="shared" si="45"/>
        <v>-2556000</v>
      </c>
      <c r="N96" s="537">
        <f t="shared" si="45"/>
        <v>-2556000</v>
      </c>
      <c r="O96" s="537">
        <f t="shared" si="45"/>
        <v>-2556000</v>
      </c>
      <c r="P96" s="537">
        <f t="shared" si="45"/>
        <v>-2556000</v>
      </c>
      <c r="Q96" s="537">
        <f t="shared" si="45"/>
        <v>-2556000</v>
      </c>
      <c r="R96" s="538">
        <f t="shared" si="45"/>
        <v>-2556000</v>
      </c>
    </row>
    <row r="97" spans="1:18" ht="14.4" thickBot="1" x14ac:dyDescent="0.35">
      <c r="A97" s="621"/>
      <c r="B97" s="528" t="s">
        <v>212</v>
      </c>
      <c r="C97" s="529">
        <f t="shared" si="43"/>
        <v>-46467432</v>
      </c>
      <c r="D97" s="530">
        <f t="shared" ref="D97:R97" si="46">D96*1.23</f>
        <v>-2721744</v>
      </c>
      <c r="E97" s="530">
        <f t="shared" si="46"/>
        <v>-2875248</v>
      </c>
      <c r="F97" s="530">
        <f t="shared" si="46"/>
        <v>-3143880</v>
      </c>
      <c r="G97" s="528">
        <f t="shared" si="46"/>
        <v>-3143880</v>
      </c>
      <c r="H97" s="530">
        <f t="shared" si="46"/>
        <v>-3143880</v>
      </c>
      <c r="I97" s="530">
        <f t="shared" si="46"/>
        <v>-3143880</v>
      </c>
      <c r="J97" s="530">
        <f t="shared" si="46"/>
        <v>-3143880</v>
      </c>
      <c r="K97" s="530">
        <f t="shared" si="46"/>
        <v>-3143880</v>
      </c>
      <c r="L97" s="530">
        <f t="shared" si="46"/>
        <v>-3143880</v>
      </c>
      <c r="M97" s="530">
        <f t="shared" si="46"/>
        <v>-3143880</v>
      </c>
      <c r="N97" s="530">
        <f t="shared" si="46"/>
        <v>-3143880</v>
      </c>
      <c r="O97" s="530">
        <f t="shared" si="46"/>
        <v>-3143880</v>
      </c>
      <c r="P97" s="530">
        <f t="shared" si="46"/>
        <v>-3143880</v>
      </c>
      <c r="Q97" s="530">
        <f t="shared" si="46"/>
        <v>-3143880</v>
      </c>
      <c r="R97" s="531">
        <f t="shared" si="46"/>
        <v>-3143880</v>
      </c>
    </row>
    <row r="98" spans="1:18" ht="14.4" thickTop="1" x14ac:dyDescent="0.3">
      <c r="A98" s="621"/>
      <c r="C98" s="464"/>
    </row>
    <row r="99" spans="1:18" ht="14.4" thickBot="1" x14ac:dyDescent="0.35">
      <c r="A99" s="621"/>
      <c r="B99" s="536" t="s">
        <v>284</v>
      </c>
      <c r="C99" s="537">
        <f>SUM(D99:R99)</f>
        <v>246000</v>
      </c>
      <c r="D99" s="537">
        <f>'Fit out contribution'!$E$8</f>
        <v>16400</v>
      </c>
      <c r="E99" s="537">
        <f>'Fit out contribution'!$E$8</f>
        <v>16400</v>
      </c>
      <c r="F99" s="537">
        <f>'Fit out contribution'!$E$8</f>
        <v>16400</v>
      </c>
      <c r="G99" s="537">
        <f>'Fit out contribution'!$E$8</f>
        <v>16400</v>
      </c>
      <c r="H99" s="537">
        <f>'Fit out contribution'!$E$8</f>
        <v>16400</v>
      </c>
      <c r="I99" s="537">
        <f>'Fit out contribution'!$E$8</f>
        <v>16400</v>
      </c>
      <c r="J99" s="537">
        <f>'Fit out contribution'!$E$8</f>
        <v>16400</v>
      </c>
      <c r="K99" s="537">
        <f>'Fit out contribution'!$E$8</f>
        <v>16400</v>
      </c>
      <c r="L99" s="537">
        <f>'Fit out contribution'!$E$8</f>
        <v>16400</v>
      </c>
      <c r="M99" s="537">
        <f>'Fit out contribution'!$E$8</f>
        <v>16400</v>
      </c>
      <c r="N99" s="537">
        <f>'Fit out contribution'!$E$8</f>
        <v>16400</v>
      </c>
      <c r="O99" s="537">
        <f>'Fit out contribution'!$E$8</f>
        <v>16400</v>
      </c>
      <c r="P99" s="537">
        <f>'Fit out contribution'!$E$8</f>
        <v>16400</v>
      </c>
      <c r="Q99" s="537">
        <f>'Fit out contribution'!$E$8</f>
        <v>16400</v>
      </c>
      <c r="R99" s="538">
        <f>'Fit out contribution'!$E$8</f>
        <v>16400</v>
      </c>
    </row>
    <row r="100" spans="1:18" ht="14.4" thickBot="1" x14ac:dyDescent="0.35">
      <c r="A100" s="621"/>
      <c r="B100" s="528" t="s">
        <v>286</v>
      </c>
      <c r="C100" s="529">
        <f>SUM(C99,C97)</f>
        <v>-46221432</v>
      </c>
      <c r="D100" s="529">
        <f t="shared" ref="D100:R100" si="47">SUM(D99,D97)</f>
        <v>-2705344</v>
      </c>
      <c r="E100" s="529">
        <f t="shared" si="47"/>
        <v>-2858848</v>
      </c>
      <c r="F100" s="529">
        <f t="shared" si="47"/>
        <v>-3127480</v>
      </c>
      <c r="G100" s="529">
        <f t="shared" si="47"/>
        <v>-3127480</v>
      </c>
      <c r="H100" s="529">
        <f t="shared" si="47"/>
        <v>-3127480</v>
      </c>
      <c r="I100" s="529">
        <f t="shared" si="47"/>
        <v>-3127480</v>
      </c>
      <c r="J100" s="529">
        <f t="shared" si="47"/>
        <v>-3127480</v>
      </c>
      <c r="K100" s="529">
        <f t="shared" si="47"/>
        <v>-3127480</v>
      </c>
      <c r="L100" s="529">
        <f t="shared" si="47"/>
        <v>-3127480</v>
      </c>
      <c r="M100" s="529">
        <f t="shared" si="47"/>
        <v>-3127480</v>
      </c>
      <c r="N100" s="529">
        <f t="shared" si="47"/>
        <v>-3127480</v>
      </c>
      <c r="O100" s="529">
        <f t="shared" si="47"/>
        <v>-3127480</v>
      </c>
      <c r="P100" s="529">
        <f t="shared" si="47"/>
        <v>-3127480</v>
      </c>
      <c r="Q100" s="529">
        <f t="shared" si="47"/>
        <v>-3127480</v>
      </c>
      <c r="R100" s="529">
        <f t="shared" si="47"/>
        <v>-3127480</v>
      </c>
    </row>
    <row r="101" spans="1:18" ht="15" thickTop="1" thickBot="1" x14ac:dyDescent="0.35">
      <c r="A101" s="621"/>
      <c r="C101" s="464"/>
      <c r="D101" s="464"/>
      <c r="E101" s="464"/>
      <c r="F101" s="196"/>
    </row>
    <row r="102" spans="1:18" x14ac:dyDescent="0.3">
      <c r="A102" s="621"/>
      <c r="B102" s="217"/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8"/>
    </row>
    <row r="103" spans="1:18" ht="14.4" thickBot="1" x14ac:dyDescent="0.35">
      <c r="A103" s="621"/>
      <c r="B103" s="375"/>
      <c r="C103" s="375"/>
      <c r="D103" s="376">
        <v>1</v>
      </c>
      <c r="E103" s="376">
        <v>2</v>
      </c>
      <c r="F103" s="376">
        <v>3</v>
      </c>
      <c r="G103" s="376">
        <v>4</v>
      </c>
      <c r="H103" s="376">
        <v>5</v>
      </c>
      <c r="I103" s="376">
        <v>6</v>
      </c>
      <c r="J103" s="376">
        <v>7</v>
      </c>
      <c r="K103" s="376">
        <v>8</v>
      </c>
      <c r="L103" s="376">
        <v>9</v>
      </c>
      <c r="M103" s="376">
        <v>10</v>
      </c>
      <c r="N103" s="376">
        <v>11</v>
      </c>
      <c r="O103" s="376">
        <v>12</v>
      </c>
      <c r="P103" s="376">
        <v>13</v>
      </c>
      <c r="Q103" s="376">
        <v>14</v>
      </c>
      <c r="R103" s="377">
        <v>15</v>
      </c>
    </row>
    <row r="104" spans="1:18" ht="15.6" x14ac:dyDescent="0.3">
      <c r="A104" s="620"/>
      <c r="B104" s="546" t="s">
        <v>202</v>
      </c>
      <c r="C104" s="549" t="s">
        <v>33</v>
      </c>
      <c r="D104" s="547">
        <f>D3</f>
        <v>2026</v>
      </c>
      <c r="E104" s="547">
        <f t="shared" ref="E104:R104" si="48">$D$3+D103</f>
        <v>2027</v>
      </c>
      <c r="F104" s="547">
        <f t="shared" si="48"/>
        <v>2028</v>
      </c>
      <c r="G104" s="547">
        <f t="shared" si="48"/>
        <v>2029</v>
      </c>
      <c r="H104" s="547">
        <f t="shared" si="48"/>
        <v>2030</v>
      </c>
      <c r="I104" s="547">
        <f t="shared" si="48"/>
        <v>2031</v>
      </c>
      <c r="J104" s="547">
        <f t="shared" si="48"/>
        <v>2032</v>
      </c>
      <c r="K104" s="547">
        <f t="shared" si="48"/>
        <v>2033</v>
      </c>
      <c r="L104" s="547">
        <f t="shared" si="48"/>
        <v>2034</v>
      </c>
      <c r="M104" s="547">
        <f t="shared" si="48"/>
        <v>2035</v>
      </c>
      <c r="N104" s="547">
        <f t="shared" si="48"/>
        <v>2036</v>
      </c>
      <c r="O104" s="547">
        <f t="shared" si="48"/>
        <v>2037</v>
      </c>
      <c r="P104" s="547">
        <f t="shared" si="48"/>
        <v>2038</v>
      </c>
      <c r="Q104" s="547">
        <f t="shared" si="48"/>
        <v>2039</v>
      </c>
      <c r="R104" s="548">
        <f t="shared" si="48"/>
        <v>2040</v>
      </c>
    </row>
    <row r="105" spans="1:18" x14ac:dyDescent="0.3">
      <c r="A105" s="620"/>
      <c r="B105" s="550" t="s">
        <v>124</v>
      </c>
      <c r="C105" s="430">
        <f>SUM(D105:R105)</f>
        <v>-2249310.5950795203</v>
      </c>
      <c r="D105" s="430">
        <f>-Alternatívy!$C$388-Alternatívy!$C$387-Alternatívy!$C$383</f>
        <v>-149954.039671968</v>
      </c>
      <c r="E105" s="430">
        <f t="shared" ref="E105:R106" si="49">D105</f>
        <v>-149954.039671968</v>
      </c>
      <c r="F105" s="430">
        <f t="shared" si="49"/>
        <v>-149954.039671968</v>
      </c>
      <c r="G105" s="430">
        <f t="shared" si="49"/>
        <v>-149954.039671968</v>
      </c>
      <c r="H105" s="430">
        <f t="shared" si="49"/>
        <v>-149954.039671968</v>
      </c>
      <c r="I105" s="430">
        <f t="shared" si="49"/>
        <v>-149954.039671968</v>
      </c>
      <c r="J105" s="430">
        <f t="shared" si="49"/>
        <v>-149954.039671968</v>
      </c>
      <c r="K105" s="430">
        <f t="shared" si="49"/>
        <v>-149954.039671968</v>
      </c>
      <c r="L105" s="430">
        <f t="shared" si="49"/>
        <v>-149954.039671968</v>
      </c>
      <c r="M105" s="430">
        <f t="shared" si="49"/>
        <v>-149954.039671968</v>
      </c>
      <c r="N105" s="430">
        <f t="shared" si="49"/>
        <v>-149954.039671968</v>
      </c>
      <c r="O105" s="430">
        <f t="shared" si="49"/>
        <v>-149954.039671968</v>
      </c>
      <c r="P105" s="430">
        <f t="shared" si="49"/>
        <v>-149954.039671968</v>
      </c>
      <c r="Q105" s="430">
        <f t="shared" si="49"/>
        <v>-149954.039671968</v>
      </c>
      <c r="R105" s="431">
        <f t="shared" si="49"/>
        <v>-149954.039671968</v>
      </c>
    </row>
    <row r="106" spans="1:18" ht="14.4" thickBot="1" x14ac:dyDescent="0.35">
      <c r="A106" s="620"/>
      <c r="B106" s="551" t="s">
        <v>125</v>
      </c>
      <c r="C106" s="544">
        <f>SUM(D106:R106)</f>
        <v>-3242247.6268799999</v>
      </c>
      <c r="D106" s="544">
        <f>-Alternatívy!$C$381</f>
        <v>-216149.84179199999</v>
      </c>
      <c r="E106" s="544">
        <f t="shared" si="49"/>
        <v>-216149.84179199999</v>
      </c>
      <c r="F106" s="544">
        <f t="shared" si="49"/>
        <v>-216149.84179199999</v>
      </c>
      <c r="G106" s="544">
        <f t="shared" si="49"/>
        <v>-216149.84179199999</v>
      </c>
      <c r="H106" s="544">
        <f t="shared" si="49"/>
        <v>-216149.84179199999</v>
      </c>
      <c r="I106" s="544">
        <f t="shared" si="49"/>
        <v>-216149.84179199999</v>
      </c>
      <c r="J106" s="544">
        <f t="shared" si="49"/>
        <v>-216149.84179199999</v>
      </c>
      <c r="K106" s="544">
        <f t="shared" si="49"/>
        <v>-216149.84179199999</v>
      </c>
      <c r="L106" s="544">
        <f t="shared" si="49"/>
        <v>-216149.84179199999</v>
      </c>
      <c r="M106" s="544">
        <f t="shared" si="49"/>
        <v>-216149.84179199999</v>
      </c>
      <c r="N106" s="544">
        <f t="shared" si="49"/>
        <v>-216149.84179199999</v>
      </c>
      <c r="O106" s="544">
        <f t="shared" si="49"/>
        <v>-216149.84179199999</v>
      </c>
      <c r="P106" s="544">
        <f t="shared" si="49"/>
        <v>-216149.84179199999</v>
      </c>
      <c r="Q106" s="544">
        <f t="shared" si="49"/>
        <v>-216149.84179199999</v>
      </c>
      <c r="R106" s="545">
        <f t="shared" si="49"/>
        <v>-216149.84179199999</v>
      </c>
    </row>
    <row r="107" spans="1:18" ht="14.4" thickBot="1" x14ac:dyDescent="0.35">
      <c r="A107" s="620"/>
      <c r="B107" s="555" t="s">
        <v>57</v>
      </c>
      <c r="C107" s="556">
        <f>SUM(D107:R107)</f>
        <v>-5491558.2219595211</v>
      </c>
      <c r="D107" s="556">
        <f t="shared" ref="D107:R107" si="50">SUM(D105:D106)</f>
        <v>-366103.88146396796</v>
      </c>
      <c r="E107" s="556">
        <f t="shared" si="50"/>
        <v>-366103.88146396796</v>
      </c>
      <c r="F107" s="556">
        <f t="shared" si="50"/>
        <v>-366103.88146396796</v>
      </c>
      <c r="G107" s="556">
        <f t="shared" si="50"/>
        <v>-366103.88146396796</v>
      </c>
      <c r="H107" s="556">
        <f t="shared" si="50"/>
        <v>-366103.88146396796</v>
      </c>
      <c r="I107" s="556">
        <f t="shared" si="50"/>
        <v>-366103.88146396796</v>
      </c>
      <c r="J107" s="556">
        <f t="shared" si="50"/>
        <v>-366103.88146396796</v>
      </c>
      <c r="K107" s="556">
        <f t="shared" si="50"/>
        <v>-366103.88146396796</v>
      </c>
      <c r="L107" s="556">
        <f t="shared" si="50"/>
        <v>-366103.88146396796</v>
      </c>
      <c r="M107" s="556">
        <f t="shared" si="50"/>
        <v>-366103.88146396796</v>
      </c>
      <c r="N107" s="556">
        <f t="shared" si="50"/>
        <v>-366103.88146396796</v>
      </c>
      <c r="O107" s="556">
        <f t="shared" si="50"/>
        <v>-366103.88146396796</v>
      </c>
      <c r="P107" s="556">
        <f t="shared" si="50"/>
        <v>-366103.88146396796</v>
      </c>
      <c r="Q107" s="556">
        <f t="shared" si="50"/>
        <v>-366103.88146396796</v>
      </c>
      <c r="R107" s="557">
        <f t="shared" si="50"/>
        <v>-366103.88146396796</v>
      </c>
    </row>
    <row r="108" spans="1:18" x14ac:dyDescent="0.3">
      <c r="A108" s="620"/>
      <c r="B108" s="552"/>
      <c r="C108" s="553"/>
      <c r="D108" s="553"/>
      <c r="E108" s="553"/>
      <c r="F108" s="553"/>
      <c r="G108" s="553"/>
      <c r="H108" s="553"/>
      <c r="I108" s="553"/>
      <c r="J108" s="553"/>
      <c r="K108" s="553"/>
      <c r="L108" s="553"/>
      <c r="M108" s="553"/>
      <c r="N108" s="553"/>
      <c r="O108" s="553"/>
      <c r="P108" s="553"/>
      <c r="Q108" s="553"/>
      <c r="R108" s="554"/>
    </row>
    <row r="109" spans="1:18" x14ac:dyDescent="0.3">
      <c r="A109" s="620"/>
      <c r="B109" s="504" t="s">
        <v>281</v>
      </c>
      <c r="C109" s="434">
        <f>SUM(D109:R109)</f>
        <v>-3000000</v>
      </c>
      <c r="D109" s="434">
        <f>-'Status po prestahovaní'!$E$5</f>
        <v>-200000</v>
      </c>
      <c r="E109" s="434">
        <f>-'Status po prestahovaní'!$E$5</f>
        <v>-200000</v>
      </c>
      <c r="F109" s="434">
        <f>-'Status po prestahovaní'!$E$5</f>
        <v>-200000</v>
      </c>
      <c r="G109" s="434">
        <f>-'Status po prestahovaní'!$E$5</f>
        <v>-200000</v>
      </c>
      <c r="H109" s="434">
        <f>-'Status po prestahovaní'!$E$5</f>
        <v>-200000</v>
      </c>
      <c r="I109" s="434">
        <f>-'Status po prestahovaní'!$E$5</f>
        <v>-200000</v>
      </c>
      <c r="J109" s="434">
        <f>-'Status po prestahovaní'!$E$5</f>
        <v>-200000</v>
      </c>
      <c r="K109" s="434">
        <f>-'Status po prestahovaní'!$E$5</f>
        <v>-200000</v>
      </c>
      <c r="L109" s="434">
        <f>-'Status po prestahovaní'!$E$5</f>
        <v>-200000</v>
      </c>
      <c r="M109" s="434">
        <f>-'Status po prestahovaní'!$E$5</f>
        <v>-200000</v>
      </c>
      <c r="N109" s="434">
        <f>-'Status po prestahovaní'!$E$5</f>
        <v>-200000</v>
      </c>
      <c r="O109" s="434">
        <f>-'Status po prestahovaní'!$E$5</f>
        <v>-200000</v>
      </c>
      <c r="P109" s="434">
        <f>-'Status po prestahovaní'!$E$5</f>
        <v>-200000</v>
      </c>
      <c r="Q109" s="434">
        <f>-'Status po prestahovaní'!$E$5</f>
        <v>-200000</v>
      </c>
      <c r="R109" s="435">
        <f>-'Status po prestahovaní'!$E$5</f>
        <v>-200000</v>
      </c>
    </row>
    <row r="110" spans="1:18" ht="14.4" thickBot="1" x14ac:dyDescent="0.35">
      <c r="A110" s="620"/>
      <c r="B110" s="558"/>
      <c r="C110" s="436"/>
      <c r="D110" s="436"/>
      <c r="E110" s="436"/>
      <c r="F110" s="436"/>
      <c r="G110" s="436"/>
      <c r="H110" s="436"/>
      <c r="I110" s="436"/>
      <c r="J110" s="436"/>
      <c r="K110" s="436"/>
      <c r="L110" s="436"/>
      <c r="M110" s="436"/>
      <c r="N110" s="436"/>
      <c r="O110" s="436"/>
      <c r="P110" s="436"/>
      <c r="Q110" s="436"/>
      <c r="R110" s="437"/>
    </row>
    <row r="111" spans="1:18" ht="14.4" thickBot="1" x14ac:dyDescent="0.35">
      <c r="A111" s="620"/>
      <c r="B111" s="505" t="s">
        <v>274</v>
      </c>
      <c r="C111" s="438">
        <f>SUM(C109,C107)</f>
        <v>-8491558.2219595201</v>
      </c>
      <c r="D111" s="438">
        <f t="shared" ref="D111:R111" si="51">SUM(D109,D107)</f>
        <v>-566103.88146396796</v>
      </c>
      <c r="E111" s="438">
        <f t="shared" si="51"/>
        <v>-566103.88146396796</v>
      </c>
      <c r="F111" s="438">
        <f t="shared" si="51"/>
        <v>-566103.88146396796</v>
      </c>
      <c r="G111" s="438">
        <f t="shared" si="51"/>
        <v>-566103.88146396796</v>
      </c>
      <c r="H111" s="438">
        <f t="shared" si="51"/>
        <v>-566103.88146396796</v>
      </c>
      <c r="I111" s="438">
        <f t="shared" si="51"/>
        <v>-566103.88146396796</v>
      </c>
      <c r="J111" s="438">
        <f t="shared" si="51"/>
        <v>-566103.88146396796</v>
      </c>
      <c r="K111" s="438">
        <f t="shared" si="51"/>
        <v>-566103.88146396796</v>
      </c>
      <c r="L111" s="438">
        <f t="shared" si="51"/>
        <v>-566103.88146396796</v>
      </c>
      <c r="M111" s="438">
        <f t="shared" si="51"/>
        <v>-566103.88146396796</v>
      </c>
      <c r="N111" s="438">
        <f t="shared" si="51"/>
        <v>-566103.88146396796</v>
      </c>
      <c r="O111" s="438">
        <f t="shared" si="51"/>
        <v>-566103.88146396796</v>
      </c>
      <c r="P111" s="438">
        <f t="shared" si="51"/>
        <v>-566103.88146396796</v>
      </c>
      <c r="Q111" s="438">
        <f t="shared" si="51"/>
        <v>-566103.88146396796</v>
      </c>
      <c r="R111" s="439">
        <f t="shared" si="51"/>
        <v>-566103.88146396796</v>
      </c>
    </row>
    <row r="112" spans="1:18" x14ac:dyDescent="0.3">
      <c r="A112" s="621"/>
      <c r="B112" s="421"/>
      <c r="C112" s="421"/>
      <c r="D112" s="421"/>
      <c r="E112" s="421"/>
      <c r="F112" s="421"/>
      <c r="G112" s="421"/>
      <c r="H112" s="421"/>
      <c r="I112" s="421"/>
      <c r="J112" s="421"/>
      <c r="K112" s="421"/>
      <c r="L112" s="421"/>
      <c r="M112" s="421"/>
      <c r="N112" s="421"/>
      <c r="O112" s="421"/>
      <c r="P112" s="421"/>
      <c r="Q112" s="421"/>
      <c r="R112" s="422"/>
    </row>
    <row r="113" spans="1:18" x14ac:dyDescent="0.3">
      <c r="A113" s="621"/>
      <c r="B113" s="44"/>
      <c r="C113" s="44"/>
      <c r="D113" s="45">
        <v>1</v>
      </c>
      <c r="E113" s="45">
        <v>2</v>
      </c>
      <c r="F113" s="45">
        <v>3</v>
      </c>
      <c r="G113" s="45">
        <v>4</v>
      </c>
      <c r="H113" s="45">
        <v>5</v>
      </c>
      <c r="I113" s="45">
        <v>6</v>
      </c>
      <c r="J113" s="45">
        <v>7</v>
      </c>
      <c r="K113" s="45">
        <v>8</v>
      </c>
      <c r="L113" s="45">
        <v>9</v>
      </c>
      <c r="M113" s="45">
        <v>10</v>
      </c>
      <c r="N113" s="45">
        <v>11</v>
      </c>
      <c r="O113" s="45">
        <v>12</v>
      </c>
      <c r="P113" s="45">
        <v>13</v>
      </c>
      <c r="Q113" s="45">
        <v>14</v>
      </c>
      <c r="R113" s="219">
        <v>15</v>
      </c>
    </row>
    <row r="114" spans="1:18" ht="16.2" thickBot="1" x14ac:dyDescent="0.35">
      <c r="A114" s="621"/>
      <c r="B114" s="223" t="s">
        <v>203</v>
      </c>
      <c r="C114" s="469" t="s">
        <v>33</v>
      </c>
      <c r="D114" s="224">
        <f>D3</f>
        <v>2026</v>
      </c>
      <c r="E114" s="224">
        <f t="shared" ref="E114:R114" si="52">$D$3+D113</f>
        <v>2027</v>
      </c>
      <c r="F114" s="224">
        <f t="shared" si="52"/>
        <v>2028</v>
      </c>
      <c r="G114" s="224">
        <f t="shared" si="52"/>
        <v>2029</v>
      </c>
      <c r="H114" s="224">
        <f t="shared" si="52"/>
        <v>2030</v>
      </c>
      <c r="I114" s="224">
        <f t="shared" si="52"/>
        <v>2031</v>
      </c>
      <c r="J114" s="224">
        <f t="shared" si="52"/>
        <v>2032</v>
      </c>
      <c r="K114" s="224">
        <f t="shared" si="52"/>
        <v>2033</v>
      </c>
      <c r="L114" s="224">
        <f t="shared" si="52"/>
        <v>2034</v>
      </c>
      <c r="M114" s="224">
        <f t="shared" si="52"/>
        <v>2035</v>
      </c>
      <c r="N114" s="224">
        <f t="shared" si="52"/>
        <v>2036</v>
      </c>
      <c r="O114" s="224">
        <f t="shared" si="52"/>
        <v>2037</v>
      </c>
      <c r="P114" s="224">
        <f t="shared" si="52"/>
        <v>2038</v>
      </c>
      <c r="Q114" s="224">
        <f t="shared" si="52"/>
        <v>2039</v>
      </c>
      <c r="R114" s="225">
        <f t="shared" si="52"/>
        <v>2040</v>
      </c>
    </row>
    <row r="115" spans="1:18" ht="14.4" thickBot="1" x14ac:dyDescent="0.35">
      <c r="A115" s="620"/>
      <c r="B115" s="539"/>
      <c r="C115" s="540">
        <f t="shared" ref="C115:C116" si="53">SUM(D115:R115)</f>
        <v>0</v>
      </c>
      <c r="D115" s="541">
        <v>0</v>
      </c>
      <c r="E115" s="541">
        <f t="shared" ref="E115:R115" si="54">D115</f>
        <v>0</v>
      </c>
      <c r="F115" s="541">
        <f t="shared" si="54"/>
        <v>0</v>
      </c>
      <c r="G115" s="541">
        <f t="shared" si="54"/>
        <v>0</v>
      </c>
      <c r="H115" s="541">
        <f t="shared" si="54"/>
        <v>0</v>
      </c>
      <c r="I115" s="541">
        <f t="shared" si="54"/>
        <v>0</v>
      </c>
      <c r="J115" s="541">
        <f t="shared" si="54"/>
        <v>0</v>
      </c>
      <c r="K115" s="541">
        <f t="shared" si="54"/>
        <v>0</v>
      </c>
      <c r="L115" s="541">
        <f t="shared" si="54"/>
        <v>0</v>
      </c>
      <c r="M115" s="541">
        <f t="shared" si="54"/>
        <v>0</v>
      </c>
      <c r="N115" s="541">
        <f t="shared" si="54"/>
        <v>0</v>
      </c>
      <c r="O115" s="541">
        <f t="shared" si="54"/>
        <v>0</v>
      </c>
      <c r="P115" s="541">
        <f t="shared" si="54"/>
        <v>0</v>
      </c>
      <c r="Q115" s="541">
        <f t="shared" si="54"/>
        <v>0</v>
      </c>
      <c r="R115" s="542">
        <f t="shared" si="54"/>
        <v>0</v>
      </c>
    </row>
    <row r="116" spans="1:18" ht="14.4" thickBot="1" x14ac:dyDescent="0.35">
      <c r="A116" s="622"/>
      <c r="B116" s="450" t="s">
        <v>57</v>
      </c>
      <c r="C116" s="448">
        <f t="shared" si="53"/>
        <v>0</v>
      </c>
      <c r="D116" s="448">
        <f t="shared" ref="D116:R116" si="55">SUM(D115:D115)</f>
        <v>0</v>
      </c>
      <c r="E116" s="448">
        <f t="shared" si="55"/>
        <v>0</v>
      </c>
      <c r="F116" s="448">
        <f t="shared" si="55"/>
        <v>0</v>
      </c>
      <c r="G116" s="448">
        <f t="shared" si="55"/>
        <v>0</v>
      </c>
      <c r="H116" s="448">
        <f t="shared" si="55"/>
        <v>0</v>
      </c>
      <c r="I116" s="448">
        <f t="shared" si="55"/>
        <v>0</v>
      </c>
      <c r="J116" s="448">
        <f t="shared" si="55"/>
        <v>0</v>
      </c>
      <c r="K116" s="448">
        <f t="shared" si="55"/>
        <v>0</v>
      </c>
      <c r="L116" s="448">
        <f t="shared" si="55"/>
        <v>0</v>
      </c>
      <c r="M116" s="448">
        <f t="shared" si="55"/>
        <v>0</v>
      </c>
      <c r="N116" s="448">
        <f t="shared" si="55"/>
        <v>0</v>
      </c>
      <c r="O116" s="448">
        <f t="shared" si="55"/>
        <v>0</v>
      </c>
      <c r="P116" s="448">
        <f t="shared" si="55"/>
        <v>0</v>
      </c>
      <c r="Q116" s="448">
        <f t="shared" si="55"/>
        <v>0</v>
      </c>
      <c r="R116" s="449">
        <f t="shared" si="55"/>
        <v>0</v>
      </c>
    </row>
    <row r="118" spans="1:18" ht="14.4" thickBot="1" x14ac:dyDescent="0.35"/>
    <row r="119" spans="1:18" ht="16.2" thickBot="1" x14ac:dyDescent="0.35">
      <c r="B119" s="453" t="s">
        <v>278</v>
      </c>
      <c r="C119" s="451">
        <f>SUM(C89,C100,C111,C116)</f>
        <v>-87323202.221959516</v>
      </c>
      <c r="D119" s="451">
        <f t="shared" ref="D119:R119" si="56">SUM(D86,D97,D107,D116)</f>
        <v>-5014735.8814639682</v>
      </c>
      <c r="E119" s="451">
        <f t="shared" si="56"/>
        <v>-5275987.8814639682</v>
      </c>
      <c r="F119" s="451">
        <f t="shared" si="56"/>
        <v>-5732959.8814639682</v>
      </c>
      <c r="G119" s="451">
        <f t="shared" si="56"/>
        <v>-5732959.8814639682</v>
      </c>
      <c r="H119" s="451">
        <f t="shared" si="56"/>
        <v>-5732959.8814639682</v>
      </c>
      <c r="I119" s="451">
        <f t="shared" si="56"/>
        <v>-5732959.8814639682</v>
      </c>
      <c r="J119" s="451">
        <f t="shared" si="56"/>
        <v>-5732959.8814639682</v>
      </c>
      <c r="K119" s="451">
        <f t="shared" si="56"/>
        <v>-5732959.8814639682</v>
      </c>
      <c r="L119" s="451">
        <f t="shared" si="56"/>
        <v>-5732959.8814639682</v>
      </c>
      <c r="M119" s="451">
        <f t="shared" si="56"/>
        <v>-5732959.8814639682</v>
      </c>
      <c r="N119" s="451">
        <f t="shared" si="56"/>
        <v>-5732959.8814639682</v>
      </c>
      <c r="O119" s="451">
        <f t="shared" si="56"/>
        <v>-5732959.8814639682</v>
      </c>
      <c r="P119" s="451">
        <f t="shared" si="56"/>
        <v>-5732959.8814639682</v>
      </c>
      <c r="Q119" s="451">
        <f t="shared" si="56"/>
        <v>-5732959.8814639682</v>
      </c>
      <c r="R119" s="452">
        <f t="shared" si="56"/>
        <v>-5732959.8814639682</v>
      </c>
    </row>
    <row r="122" spans="1:18" x14ac:dyDescent="0.3">
      <c r="B122" s="413" t="s">
        <v>279</v>
      </c>
      <c r="C122" s="543" t="s">
        <v>275</v>
      </c>
    </row>
    <row r="123" spans="1:18" x14ac:dyDescent="0.3">
      <c r="B123" s="37" t="s">
        <v>282</v>
      </c>
      <c r="C123" s="464">
        <f>C48</f>
        <v>-87854159.03502503</v>
      </c>
    </row>
    <row r="124" spans="1:18" x14ac:dyDescent="0.3">
      <c r="B124" s="37" t="s">
        <v>283</v>
      </c>
      <c r="C124" s="464">
        <f>C119</f>
        <v>-87323202.221959516</v>
      </c>
    </row>
    <row r="125" spans="1:18" x14ac:dyDescent="0.3">
      <c r="B125" s="463" t="s">
        <v>280</v>
      </c>
      <c r="C125" s="465">
        <f>C123-C124</f>
        <v>-530956.81306551397</v>
      </c>
    </row>
  </sheetData>
  <mergeCells count="6">
    <mergeCell ref="A81:A116"/>
    <mergeCell ref="A2:B2"/>
    <mergeCell ref="A3:A46"/>
    <mergeCell ref="A50:B50"/>
    <mergeCell ref="A51:A76"/>
    <mergeCell ref="A80:B80"/>
  </mergeCells>
  <pageMargins left="0.19687499999999999" right="0.26250000000000001" top="0.88958333333333328" bottom="0.7" header="0.5" footer="0.5"/>
  <pageSetup paperSize="9" scale="70" orientation="landscape" r:id="rId1"/>
  <headerFooter alignWithMargins="0">
    <oddHeader>&amp;LPríloha 7: Štandardné tabuľky - Cesty
&amp;"Arial,Tučné"&amp;12 03 Náklady na prevádzku a údržbu</oddHeader>
    <oddFooter>Strana &amp;P z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1752-A08D-4E0E-958B-1890824D522B}">
  <sheetPr>
    <tabColor rgb="FF92D050"/>
  </sheetPr>
  <dimension ref="A1:S132"/>
  <sheetViews>
    <sheetView showGridLines="0" topLeftCell="A118" zoomScale="90" zoomScaleNormal="100" workbookViewId="0">
      <selection activeCell="C134" sqref="C134"/>
    </sheetView>
  </sheetViews>
  <sheetFormatPr defaultColWidth="9.109375" defaultRowHeight="13.8" x14ac:dyDescent="0.3"/>
  <cols>
    <col min="1" max="1" width="7.44140625" style="37" customWidth="1"/>
    <col min="2" max="2" width="58.5546875" style="37" bestFit="1" customWidth="1"/>
    <col min="3" max="3" width="13.77734375" style="37" bestFit="1" customWidth="1"/>
    <col min="4" max="5" width="12" style="37" bestFit="1" customWidth="1"/>
    <col min="6" max="6" width="13.109375" style="37" bestFit="1" customWidth="1"/>
    <col min="7" max="18" width="12" style="37" bestFit="1" customWidth="1"/>
    <col min="19" max="16384" width="9.109375" style="37"/>
  </cols>
  <sheetData>
    <row r="1" spans="1:18" x14ac:dyDescent="0.3">
      <c r="D1" s="37" t="s">
        <v>52</v>
      </c>
    </row>
    <row r="2" spans="1:18" ht="14.4" thickBot="1" x14ac:dyDescent="0.35">
      <c r="A2" s="623"/>
      <c r="B2" s="623"/>
      <c r="C2" s="38"/>
      <c r="D2" s="37">
        <v>1</v>
      </c>
      <c r="E2" s="37">
        <v>2</v>
      </c>
      <c r="F2" s="37">
        <v>3</v>
      </c>
      <c r="G2" s="37">
        <v>4</v>
      </c>
      <c r="H2" s="37">
        <v>5</v>
      </c>
      <c r="I2" s="37">
        <v>6</v>
      </c>
      <c r="J2" s="37">
        <v>7</v>
      </c>
      <c r="K2" s="37">
        <v>8</v>
      </c>
      <c r="L2" s="37">
        <v>9</v>
      </c>
      <c r="M2" s="37">
        <v>10</v>
      </c>
      <c r="N2" s="37">
        <v>11</v>
      </c>
      <c r="O2" s="37">
        <v>12</v>
      </c>
      <c r="P2" s="37">
        <v>13</v>
      </c>
      <c r="Q2" s="37">
        <v>14</v>
      </c>
      <c r="R2" s="37">
        <v>15</v>
      </c>
    </row>
    <row r="3" spans="1:18" s="40" customFormat="1" ht="15.6" x14ac:dyDescent="0.3">
      <c r="A3" s="624" t="s">
        <v>144</v>
      </c>
      <c r="B3" s="414" t="s">
        <v>112</v>
      </c>
      <c r="C3" s="426" t="s">
        <v>33</v>
      </c>
      <c r="D3" s="415">
        <v>2026</v>
      </c>
      <c r="E3" s="415">
        <f>$D$3+D2</f>
        <v>2027</v>
      </c>
      <c r="F3" s="415">
        <f>$D$3+E2</f>
        <v>2028</v>
      </c>
      <c r="G3" s="415">
        <f>$D$3+F2</f>
        <v>2029</v>
      </c>
      <c r="H3" s="415">
        <f t="shared" ref="H3:R3" si="0">$D$3+G2</f>
        <v>2030</v>
      </c>
      <c r="I3" s="415">
        <f t="shared" si="0"/>
        <v>2031</v>
      </c>
      <c r="J3" s="415">
        <f t="shared" si="0"/>
        <v>2032</v>
      </c>
      <c r="K3" s="415">
        <f t="shared" si="0"/>
        <v>2033</v>
      </c>
      <c r="L3" s="415">
        <f t="shared" si="0"/>
        <v>2034</v>
      </c>
      <c r="M3" s="415">
        <f t="shared" si="0"/>
        <v>2035</v>
      </c>
      <c r="N3" s="415">
        <f t="shared" si="0"/>
        <v>2036</v>
      </c>
      <c r="O3" s="415">
        <f t="shared" si="0"/>
        <v>2037</v>
      </c>
      <c r="P3" s="415">
        <f t="shared" si="0"/>
        <v>2038</v>
      </c>
      <c r="Q3" s="415">
        <f t="shared" si="0"/>
        <v>2039</v>
      </c>
      <c r="R3" s="416">
        <f t="shared" si="0"/>
        <v>2040</v>
      </c>
    </row>
    <row r="4" spans="1:18" ht="12.75" customHeight="1" x14ac:dyDescent="0.3">
      <c r="A4" s="620"/>
      <c r="B4" s="418" t="s">
        <v>123</v>
      </c>
      <c r="C4" s="417">
        <f t="shared" ref="C4:C8" si="1">SUM(D4:R4)</f>
        <v>-10412621.569865521</v>
      </c>
      <c r="D4" s="417">
        <f>-Alternatívy!$C$30</f>
        <v>-694174.77132436796</v>
      </c>
      <c r="E4" s="417">
        <f>D4</f>
        <v>-694174.77132436796</v>
      </c>
      <c r="F4" s="417">
        <f t="shared" ref="F4:R7" si="2">E4</f>
        <v>-694174.77132436796</v>
      </c>
      <c r="G4" s="417">
        <f t="shared" si="2"/>
        <v>-694174.77132436796</v>
      </c>
      <c r="H4" s="417">
        <f t="shared" si="2"/>
        <v>-694174.77132436796</v>
      </c>
      <c r="I4" s="417">
        <f t="shared" si="2"/>
        <v>-694174.77132436796</v>
      </c>
      <c r="J4" s="417">
        <f t="shared" si="2"/>
        <v>-694174.77132436796</v>
      </c>
      <c r="K4" s="417">
        <f t="shared" si="2"/>
        <v>-694174.77132436796</v>
      </c>
      <c r="L4" s="417">
        <f t="shared" si="2"/>
        <v>-694174.77132436796</v>
      </c>
      <c r="M4" s="417">
        <f t="shared" si="2"/>
        <v>-694174.77132436796</v>
      </c>
      <c r="N4" s="417">
        <f t="shared" si="2"/>
        <v>-694174.77132436796</v>
      </c>
      <c r="O4" s="417">
        <f t="shared" si="2"/>
        <v>-694174.77132436796</v>
      </c>
      <c r="P4" s="417">
        <f t="shared" si="2"/>
        <v>-694174.77132436796</v>
      </c>
      <c r="Q4" s="417">
        <f t="shared" si="2"/>
        <v>-694174.77132436796</v>
      </c>
      <c r="R4" s="419">
        <f t="shared" si="2"/>
        <v>-694174.77132436796</v>
      </c>
    </row>
    <row r="5" spans="1:18" ht="12.75" customHeight="1" x14ac:dyDescent="0.3">
      <c r="A5" s="620"/>
      <c r="B5" s="418" t="s">
        <v>54</v>
      </c>
      <c r="C5" s="417">
        <f>SUM(D5:R5)</f>
        <v>0</v>
      </c>
      <c r="D5" s="417">
        <f>-Alternatívy!C25</f>
        <v>0</v>
      </c>
      <c r="E5" s="417">
        <f>D5</f>
        <v>0</v>
      </c>
      <c r="F5" s="417">
        <f t="shared" si="2"/>
        <v>0</v>
      </c>
      <c r="G5" s="417">
        <f t="shared" si="2"/>
        <v>0</v>
      </c>
      <c r="H5" s="417">
        <f t="shared" si="2"/>
        <v>0</v>
      </c>
      <c r="I5" s="417">
        <f t="shared" si="2"/>
        <v>0</v>
      </c>
      <c r="J5" s="417">
        <f t="shared" si="2"/>
        <v>0</v>
      </c>
      <c r="K5" s="417">
        <f t="shared" si="2"/>
        <v>0</v>
      </c>
      <c r="L5" s="417">
        <f t="shared" si="2"/>
        <v>0</v>
      </c>
      <c r="M5" s="417">
        <f t="shared" si="2"/>
        <v>0</v>
      </c>
      <c r="N5" s="417">
        <f t="shared" si="2"/>
        <v>0</v>
      </c>
      <c r="O5" s="417">
        <f t="shared" si="2"/>
        <v>0</v>
      </c>
      <c r="P5" s="417">
        <f t="shared" si="2"/>
        <v>0</v>
      </c>
      <c r="Q5" s="417">
        <f t="shared" si="2"/>
        <v>0</v>
      </c>
      <c r="R5" s="419">
        <f t="shared" si="2"/>
        <v>0</v>
      </c>
    </row>
    <row r="6" spans="1:18" ht="12.75" customHeight="1" x14ac:dyDescent="0.3">
      <c r="A6" s="620"/>
      <c r="B6" s="418" t="s">
        <v>124</v>
      </c>
      <c r="C6" s="417">
        <f t="shared" si="1"/>
        <v>-2249310.5950795203</v>
      </c>
      <c r="D6" s="417">
        <f>-Alternatívy!$C$47</f>
        <v>-149954.039671968</v>
      </c>
      <c r="E6" s="417">
        <f>D6</f>
        <v>-149954.039671968</v>
      </c>
      <c r="F6" s="417">
        <f t="shared" si="2"/>
        <v>-149954.039671968</v>
      </c>
      <c r="G6" s="417">
        <f t="shared" si="2"/>
        <v>-149954.039671968</v>
      </c>
      <c r="H6" s="417">
        <f t="shared" si="2"/>
        <v>-149954.039671968</v>
      </c>
      <c r="I6" s="417">
        <f t="shared" si="2"/>
        <v>-149954.039671968</v>
      </c>
      <c r="J6" s="417">
        <f t="shared" si="2"/>
        <v>-149954.039671968</v>
      </c>
      <c r="K6" s="417">
        <f t="shared" si="2"/>
        <v>-149954.039671968</v>
      </c>
      <c r="L6" s="417">
        <f t="shared" si="2"/>
        <v>-149954.039671968</v>
      </c>
      <c r="M6" s="417">
        <f t="shared" si="2"/>
        <v>-149954.039671968</v>
      </c>
      <c r="N6" s="417">
        <f t="shared" si="2"/>
        <v>-149954.039671968</v>
      </c>
      <c r="O6" s="417">
        <f t="shared" si="2"/>
        <v>-149954.039671968</v>
      </c>
      <c r="P6" s="417">
        <f t="shared" si="2"/>
        <v>-149954.039671968</v>
      </c>
      <c r="Q6" s="417">
        <f t="shared" si="2"/>
        <v>-149954.039671968</v>
      </c>
      <c r="R6" s="419">
        <f t="shared" si="2"/>
        <v>-149954.039671968</v>
      </c>
    </row>
    <row r="7" spans="1:18" ht="12.75" customHeight="1" x14ac:dyDescent="0.3">
      <c r="A7" s="620"/>
      <c r="B7" s="418" t="s">
        <v>125</v>
      </c>
      <c r="C7" s="417">
        <f t="shared" si="1"/>
        <v>-3242247.6268799999</v>
      </c>
      <c r="D7" s="417">
        <f>-Alternatívy!$C$37</f>
        <v>-216149.84179199999</v>
      </c>
      <c r="E7" s="417">
        <f>D7</f>
        <v>-216149.84179199999</v>
      </c>
      <c r="F7" s="417">
        <f t="shared" si="2"/>
        <v>-216149.84179199999</v>
      </c>
      <c r="G7" s="417">
        <f t="shared" si="2"/>
        <v>-216149.84179199999</v>
      </c>
      <c r="H7" s="417">
        <f t="shared" si="2"/>
        <v>-216149.84179199999</v>
      </c>
      <c r="I7" s="417">
        <f t="shared" si="2"/>
        <v>-216149.84179199999</v>
      </c>
      <c r="J7" s="417">
        <f t="shared" si="2"/>
        <v>-216149.84179199999</v>
      </c>
      <c r="K7" s="417">
        <f t="shared" si="2"/>
        <v>-216149.84179199999</v>
      </c>
      <c r="L7" s="417">
        <f t="shared" si="2"/>
        <v>-216149.84179199999</v>
      </c>
      <c r="M7" s="417">
        <f t="shared" si="2"/>
        <v>-216149.84179199999</v>
      </c>
      <c r="N7" s="417">
        <f t="shared" si="2"/>
        <v>-216149.84179199999</v>
      </c>
      <c r="O7" s="417">
        <f t="shared" si="2"/>
        <v>-216149.84179199999</v>
      </c>
      <c r="P7" s="417">
        <f t="shared" si="2"/>
        <v>-216149.84179199999</v>
      </c>
      <c r="Q7" s="417">
        <f t="shared" si="2"/>
        <v>-216149.84179199999</v>
      </c>
      <c r="R7" s="419">
        <f t="shared" si="2"/>
        <v>-216149.84179199999</v>
      </c>
    </row>
    <row r="8" spans="1:18" ht="13.5" customHeight="1" x14ac:dyDescent="0.3">
      <c r="A8" s="620"/>
      <c r="B8" s="420" t="s">
        <v>212</v>
      </c>
      <c r="C8" s="440">
        <f t="shared" si="1"/>
        <v>-15904179.791825034</v>
      </c>
      <c r="D8" s="440">
        <f t="shared" ref="D8:R8" si="3">SUM(D4:D7)</f>
        <v>-1060278.6527883359</v>
      </c>
      <c r="E8" s="440">
        <f t="shared" si="3"/>
        <v>-1060278.6527883359</v>
      </c>
      <c r="F8" s="440">
        <f t="shared" si="3"/>
        <v>-1060278.6527883359</v>
      </c>
      <c r="G8" s="440">
        <f t="shared" si="3"/>
        <v>-1060278.6527883359</v>
      </c>
      <c r="H8" s="440">
        <f t="shared" si="3"/>
        <v>-1060278.6527883359</v>
      </c>
      <c r="I8" s="440">
        <f t="shared" si="3"/>
        <v>-1060278.6527883359</v>
      </c>
      <c r="J8" s="440">
        <f t="shared" si="3"/>
        <v>-1060278.6527883359</v>
      </c>
      <c r="K8" s="440">
        <f t="shared" si="3"/>
        <v>-1060278.6527883359</v>
      </c>
      <c r="L8" s="440">
        <f t="shared" si="3"/>
        <v>-1060278.6527883359</v>
      </c>
      <c r="M8" s="440">
        <f t="shared" si="3"/>
        <v>-1060278.6527883359</v>
      </c>
      <c r="N8" s="440">
        <f t="shared" si="3"/>
        <v>-1060278.6527883359</v>
      </c>
      <c r="O8" s="440">
        <f t="shared" si="3"/>
        <v>-1060278.6527883359</v>
      </c>
      <c r="P8" s="440">
        <f t="shared" si="3"/>
        <v>-1060278.6527883359</v>
      </c>
      <c r="Q8" s="440">
        <f t="shared" si="3"/>
        <v>-1060278.6527883359</v>
      </c>
      <c r="R8" s="441">
        <f t="shared" si="3"/>
        <v>-1060278.6527883359</v>
      </c>
    </row>
    <row r="9" spans="1:18" ht="13.5" customHeight="1" x14ac:dyDescent="0.3">
      <c r="A9" s="620"/>
      <c r="B9" s="394"/>
      <c r="C9" s="442"/>
      <c r="D9" s="442"/>
      <c r="E9" s="442"/>
      <c r="F9" s="442"/>
      <c r="G9" s="442"/>
      <c r="H9" s="442"/>
      <c r="I9" s="442"/>
      <c r="J9" s="442"/>
      <c r="K9" s="442"/>
      <c r="L9" s="442"/>
      <c r="M9" s="442"/>
      <c r="N9" s="442"/>
      <c r="O9" s="442"/>
      <c r="P9" s="442"/>
      <c r="Q9" s="442"/>
      <c r="R9" s="443"/>
    </row>
    <row r="10" spans="1:18" ht="13.5" customHeight="1" x14ac:dyDescent="0.3">
      <c r="A10" s="620"/>
      <c r="B10" s="418" t="s">
        <v>271</v>
      </c>
      <c r="C10" s="417">
        <f>SUM(D10:R10)</f>
        <v>-3000000</v>
      </c>
      <c r="D10" s="417">
        <f>-'Status po prestahovaní'!$C$4</f>
        <v>-200000</v>
      </c>
      <c r="E10" s="417">
        <f>-'Status po prestahovaní'!$C$4</f>
        <v>-200000</v>
      </c>
      <c r="F10" s="417">
        <f>-'Status po prestahovaní'!$C$4</f>
        <v>-200000</v>
      </c>
      <c r="G10" s="417">
        <f>-'Status po prestahovaní'!$C$4</f>
        <v>-200000</v>
      </c>
      <c r="H10" s="417">
        <f>-'Status po prestahovaní'!$C$4</f>
        <v>-200000</v>
      </c>
      <c r="I10" s="417">
        <f>-'Status po prestahovaní'!$C$4</f>
        <v>-200000</v>
      </c>
      <c r="J10" s="417">
        <f>-'Status po prestahovaní'!$C$4</f>
        <v>-200000</v>
      </c>
      <c r="K10" s="417">
        <f>-'Status po prestahovaní'!$C$4</f>
        <v>-200000</v>
      </c>
      <c r="L10" s="417">
        <f>-'Status po prestahovaní'!$C$4</f>
        <v>-200000</v>
      </c>
      <c r="M10" s="417">
        <f>-'Status po prestahovaní'!$C$4</f>
        <v>-200000</v>
      </c>
      <c r="N10" s="417">
        <f>-'Status po prestahovaní'!$C$4</f>
        <v>-200000</v>
      </c>
      <c r="O10" s="417">
        <f>-'Status po prestahovaní'!$C$4</f>
        <v>-200000</v>
      </c>
      <c r="P10" s="417">
        <f>-'Status po prestahovaní'!$C$4</f>
        <v>-200000</v>
      </c>
      <c r="Q10" s="417">
        <f>-'Status po prestahovaní'!$C$4</f>
        <v>-200000</v>
      </c>
      <c r="R10" s="419">
        <f>-'Status po prestahovaní'!$C$4</f>
        <v>-200000</v>
      </c>
    </row>
    <row r="11" spans="1:18" ht="13.5" customHeight="1" thickBot="1" x14ac:dyDescent="0.35">
      <c r="A11" s="620"/>
      <c r="B11" s="405"/>
      <c r="C11" s="444"/>
      <c r="D11" s="444"/>
      <c r="E11" s="444"/>
      <c r="F11" s="444"/>
      <c r="G11" s="444"/>
      <c r="H11" s="444"/>
      <c r="I11" s="444"/>
      <c r="J11" s="444"/>
      <c r="K11" s="444"/>
      <c r="L11" s="444"/>
      <c r="M11" s="444"/>
      <c r="N11" s="444"/>
      <c r="O11" s="444"/>
      <c r="P11" s="444"/>
      <c r="Q11" s="444"/>
      <c r="R11" s="445"/>
    </row>
    <row r="12" spans="1:18" ht="13.5" customHeight="1" thickBot="1" x14ac:dyDescent="0.35">
      <c r="A12" s="620"/>
      <c r="B12" s="409" t="s">
        <v>274</v>
      </c>
      <c r="C12" s="446">
        <f>SUM(C8:C10)</f>
        <v>-18904179.791825034</v>
      </c>
      <c r="D12" s="446">
        <f t="shared" ref="D12:R12" si="4">SUM(D8:D10)</f>
        <v>-1260278.6527883359</v>
      </c>
      <c r="E12" s="446">
        <f t="shared" si="4"/>
        <v>-1260278.6527883359</v>
      </c>
      <c r="F12" s="446">
        <f t="shared" si="4"/>
        <v>-1260278.6527883359</v>
      </c>
      <c r="G12" s="446">
        <f t="shared" si="4"/>
        <v>-1260278.6527883359</v>
      </c>
      <c r="H12" s="446">
        <f t="shared" si="4"/>
        <v>-1260278.6527883359</v>
      </c>
      <c r="I12" s="446">
        <f t="shared" si="4"/>
        <v>-1260278.6527883359</v>
      </c>
      <c r="J12" s="446">
        <f t="shared" si="4"/>
        <v>-1260278.6527883359</v>
      </c>
      <c r="K12" s="446">
        <f t="shared" si="4"/>
        <v>-1260278.6527883359</v>
      </c>
      <c r="L12" s="446">
        <f t="shared" si="4"/>
        <v>-1260278.6527883359</v>
      </c>
      <c r="M12" s="446">
        <f t="shared" si="4"/>
        <v>-1260278.6527883359</v>
      </c>
      <c r="N12" s="446">
        <f t="shared" si="4"/>
        <v>-1260278.6527883359</v>
      </c>
      <c r="O12" s="446">
        <f t="shared" si="4"/>
        <v>-1260278.6527883359</v>
      </c>
      <c r="P12" s="446">
        <f t="shared" si="4"/>
        <v>-1260278.6527883359</v>
      </c>
      <c r="Q12" s="446">
        <f t="shared" si="4"/>
        <v>-1260278.6527883359</v>
      </c>
      <c r="R12" s="447">
        <f t="shared" si="4"/>
        <v>-1260278.6527883359</v>
      </c>
    </row>
    <row r="13" spans="1:18" ht="13.5" customHeight="1" x14ac:dyDescent="0.3">
      <c r="A13" s="620"/>
      <c r="B13" s="410"/>
      <c r="C13" s="411"/>
      <c r="D13" s="411"/>
      <c r="E13" s="411"/>
      <c r="F13" s="411"/>
      <c r="G13" s="411"/>
      <c r="H13" s="411"/>
      <c r="I13" s="411"/>
      <c r="J13" s="411"/>
      <c r="K13" s="411"/>
      <c r="L13" s="411"/>
      <c r="M13" s="411"/>
      <c r="N13" s="411"/>
      <c r="O13" s="411"/>
      <c r="P13" s="411"/>
      <c r="Q13" s="411"/>
      <c r="R13" s="412"/>
    </row>
    <row r="14" spans="1:18" ht="13.5" customHeight="1" thickBot="1" x14ac:dyDescent="0.35">
      <c r="A14" s="620"/>
      <c r="B14" s="374"/>
      <c r="C14" s="375"/>
      <c r="D14" s="376">
        <v>1</v>
      </c>
      <c r="E14" s="376">
        <v>2</v>
      </c>
      <c r="F14" s="376">
        <v>3</v>
      </c>
      <c r="G14" s="376">
        <v>4</v>
      </c>
      <c r="H14" s="376">
        <v>5</v>
      </c>
      <c r="I14" s="376">
        <v>6</v>
      </c>
      <c r="J14" s="376">
        <v>7</v>
      </c>
      <c r="K14" s="376">
        <v>8</v>
      </c>
      <c r="L14" s="376">
        <v>9</v>
      </c>
      <c r="M14" s="376">
        <v>10</v>
      </c>
      <c r="N14" s="376">
        <v>11</v>
      </c>
      <c r="O14" s="376">
        <v>12</v>
      </c>
      <c r="P14" s="376">
        <v>13</v>
      </c>
      <c r="Q14" s="376">
        <v>14</v>
      </c>
      <c r="R14" s="377">
        <v>15</v>
      </c>
    </row>
    <row r="15" spans="1:18" s="40" customFormat="1" ht="15.6" x14ac:dyDescent="0.3">
      <c r="A15" s="620"/>
      <c r="B15" s="378" t="s">
        <v>113</v>
      </c>
      <c r="C15" s="425" t="s">
        <v>33</v>
      </c>
      <c r="D15" s="379">
        <f>D3</f>
        <v>2026</v>
      </c>
      <c r="E15" s="379">
        <f>$D$3+D14</f>
        <v>2027</v>
      </c>
      <c r="F15" s="379">
        <f>$D$3+E14</f>
        <v>2028</v>
      </c>
      <c r="G15" s="379">
        <f>$D$3+F14</f>
        <v>2029</v>
      </c>
      <c r="H15" s="379">
        <f t="shared" ref="H15:R15" si="5">$D$3+G14</f>
        <v>2030</v>
      </c>
      <c r="I15" s="379">
        <f t="shared" si="5"/>
        <v>2031</v>
      </c>
      <c r="J15" s="379">
        <f t="shared" si="5"/>
        <v>2032</v>
      </c>
      <c r="K15" s="379">
        <f t="shared" si="5"/>
        <v>2033</v>
      </c>
      <c r="L15" s="379">
        <f t="shared" si="5"/>
        <v>2034</v>
      </c>
      <c r="M15" s="379">
        <f t="shared" si="5"/>
        <v>2035</v>
      </c>
      <c r="N15" s="379">
        <f t="shared" si="5"/>
        <v>2036</v>
      </c>
      <c r="O15" s="379">
        <f t="shared" si="5"/>
        <v>2037</v>
      </c>
      <c r="P15" s="379">
        <f t="shared" si="5"/>
        <v>2038</v>
      </c>
      <c r="Q15" s="379">
        <f t="shared" si="5"/>
        <v>2039</v>
      </c>
      <c r="R15" s="380">
        <f t="shared" si="5"/>
        <v>2040</v>
      </c>
    </row>
    <row r="16" spans="1:18" ht="12.75" customHeight="1" x14ac:dyDescent="0.3">
      <c r="A16" s="620"/>
      <c r="B16" s="381" t="s">
        <v>127</v>
      </c>
      <c r="C16" s="373">
        <f t="shared" ref="C16:C22" si="6">SUM(D16:R16)</f>
        <v>-27427993.199999988</v>
      </c>
      <c r="D16" s="373">
        <f>-Alternatívy!$C$65</f>
        <v>-1828532.88</v>
      </c>
      <c r="E16" s="373">
        <f t="shared" ref="E16:R21" si="7">D16</f>
        <v>-1828532.88</v>
      </c>
      <c r="F16" s="373">
        <f t="shared" si="7"/>
        <v>-1828532.88</v>
      </c>
      <c r="G16" s="373">
        <f t="shared" si="7"/>
        <v>-1828532.88</v>
      </c>
      <c r="H16" s="373">
        <f t="shared" si="7"/>
        <v>-1828532.88</v>
      </c>
      <c r="I16" s="373">
        <f t="shared" si="7"/>
        <v>-1828532.88</v>
      </c>
      <c r="J16" s="373">
        <f t="shared" si="7"/>
        <v>-1828532.88</v>
      </c>
      <c r="K16" s="373">
        <f t="shared" si="7"/>
        <v>-1828532.88</v>
      </c>
      <c r="L16" s="373">
        <f t="shared" si="7"/>
        <v>-1828532.88</v>
      </c>
      <c r="M16" s="373">
        <f t="shared" si="7"/>
        <v>-1828532.88</v>
      </c>
      <c r="N16" s="373">
        <f t="shared" si="7"/>
        <v>-1828532.88</v>
      </c>
      <c r="O16" s="373">
        <f t="shared" si="7"/>
        <v>-1828532.88</v>
      </c>
      <c r="P16" s="373">
        <f t="shared" si="7"/>
        <v>-1828532.88</v>
      </c>
      <c r="Q16" s="373">
        <f t="shared" si="7"/>
        <v>-1828532.88</v>
      </c>
      <c r="R16" s="382">
        <f t="shared" si="7"/>
        <v>-1828532.88</v>
      </c>
    </row>
    <row r="17" spans="1:19" ht="12.75" customHeight="1" x14ac:dyDescent="0.3">
      <c r="A17" s="620"/>
      <c r="B17" s="381" t="s">
        <v>54</v>
      </c>
      <c r="C17" s="373">
        <f t="shared" si="6"/>
        <v>0</v>
      </c>
      <c r="D17" s="373">
        <f>-Alternatívy!C70</f>
        <v>0</v>
      </c>
      <c r="E17" s="373">
        <f t="shared" si="7"/>
        <v>0</v>
      </c>
      <c r="F17" s="373">
        <f t="shared" si="7"/>
        <v>0</v>
      </c>
      <c r="G17" s="373">
        <f t="shared" si="7"/>
        <v>0</v>
      </c>
      <c r="H17" s="373">
        <f t="shared" si="7"/>
        <v>0</v>
      </c>
      <c r="I17" s="373">
        <f t="shared" si="7"/>
        <v>0</v>
      </c>
      <c r="J17" s="373">
        <f t="shared" si="7"/>
        <v>0</v>
      </c>
      <c r="K17" s="373">
        <f t="shared" si="7"/>
        <v>0</v>
      </c>
      <c r="L17" s="373">
        <f t="shared" si="7"/>
        <v>0</v>
      </c>
      <c r="M17" s="373">
        <f t="shared" si="7"/>
        <v>0</v>
      </c>
      <c r="N17" s="373">
        <f t="shared" si="7"/>
        <v>0</v>
      </c>
      <c r="O17" s="373">
        <f t="shared" si="7"/>
        <v>0</v>
      </c>
      <c r="P17" s="373">
        <f t="shared" si="7"/>
        <v>0</v>
      </c>
      <c r="Q17" s="373">
        <f t="shared" si="7"/>
        <v>0</v>
      </c>
      <c r="R17" s="382">
        <f t="shared" si="7"/>
        <v>0</v>
      </c>
    </row>
    <row r="18" spans="1:19" ht="12.75" customHeight="1" x14ac:dyDescent="0.3">
      <c r="A18" s="620"/>
      <c r="B18" s="381" t="s">
        <v>129</v>
      </c>
      <c r="C18" s="373">
        <f t="shared" si="6"/>
        <v>-3908976.3810000005</v>
      </c>
      <c r="D18" s="373">
        <f>-Alternatívy!$C$85</f>
        <v>-260598.42540000001</v>
      </c>
      <c r="E18" s="373">
        <f t="shared" si="7"/>
        <v>-260598.42540000001</v>
      </c>
      <c r="F18" s="373">
        <f t="shared" si="7"/>
        <v>-260598.42540000001</v>
      </c>
      <c r="G18" s="373">
        <f t="shared" si="7"/>
        <v>-260598.42540000001</v>
      </c>
      <c r="H18" s="373">
        <f t="shared" si="7"/>
        <v>-260598.42540000001</v>
      </c>
      <c r="I18" s="373">
        <f t="shared" si="7"/>
        <v>-260598.42540000001</v>
      </c>
      <c r="J18" s="373">
        <f t="shared" si="7"/>
        <v>-260598.42540000001</v>
      </c>
      <c r="K18" s="373">
        <f t="shared" si="7"/>
        <v>-260598.42540000001</v>
      </c>
      <c r="L18" s="373">
        <f t="shared" si="7"/>
        <v>-260598.42540000001</v>
      </c>
      <c r="M18" s="373">
        <f t="shared" si="7"/>
        <v>-260598.42540000001</v>
      </c>
      <c r="N18" s="373">
        <f t="shared" si="7"/>
        <v>-260598.42540000001</v>
      </c>
      <c r="O18" s="373">
        <f t="shared" si="7"/>
        <v>-260598.42540000001</v>
      </c>
      <c r="P18" s="373">
        <f t="shared" si="7"/>
        <v>-260598.42540000001</v>
      </c>
      <c r="Q18" s="373">
        <f t="shared" si="7"/>
        <v>-260598.42540000001</v>
      </c>
      <c r="R18" s="382">
        <f t="shared" si="7"/>
        <v>-260598.42540000001</v>
      </c>
    </row>
    <row r="19" spans="1:19" ht="12.75" customHeight="1" x14ac:dyDescent="0.3">
      <c r="A19" s="620"/>
      <c r="B19" s="381" t="s">
        <v>130</v>
      </c>
      <c r="C19" s="373">
        <f t="shared" si="6"/>
        <v>-1894183.1999999993</v>
      </c>
      <c r="D19" s="373">
        <f>-Alternatívy!C75</f>
        <v>-126278.88</v>
      </c>
      <c r="E19" s="373">
        <f t="shared" si="7"/>
        <v>-126278.88</v>
      </c>
      <c r="F19" s="373">
        <f t="shared" si="7"/>
        <v>-126278.88</v>
      </c>
      <c r="G19" s="373">
        <f t="shared" si="7"/>
        <v>-126278.88</v>
      </c>
      <c r="H19" s="373">
        <f t="shared" si="7"/>
        <v>-126278.88</v>
      </c>
      <c r="I19" s="373">
        <f t="shared" si="7"/>
        <v>-126278.88</v>
      </c>
      <c r="J19" s="373">
        <f t="shared" si="7"/>
        <v>-126278.88</v>
      </c>
      <c r="K19" s="373">
        <f t="shared" si="7"/>
        <v>-126278.88</v>
      </c>
      <c r="L19" s="373">
        <f t="shared" si="7"/>
        <v>-126278.88</v>
      </c>
      <c r="M19" s="373">
        <f t="shared" si="7"/>
        <v>-126278.88</v>
      </c>
      <c r="N19" s="373">
        <f t="shared" si="7"/>
        <v>-126278.88</v>
      </c>
      <c r="O19" s="373">
        <f t="shared" si="7"/>
        <v>-126278.88</v>
      </c>
      <c r="P19" s="373">
        <f t="shared" si="7"/>
        <v>-126278.88</v>
      </c>
      <c r="Q19" s="373">
        <f t="shared" si="7"/>
        <v>-126278.88</v>
      </c>
      <c r="R19" s="382">
        <f t="shared" si="7"/>
        <v>-126278.88</v>
      </c>
    </row>
    <row r="20" spans="1:19" ht="12.75" customHeight="1" x14ac:dyDescent="0.3">
      <c r="A20" s="620"/>
      <c r="B20" s="381" t="s">
        <v>131</v>
      </c>
      <c r="C20" s="373">
        <f t="shared" si="6"/>
        <v>-3861823.3868999984</v>
      </c>
      <c r="D20" s="373">
        <f>-Alternatívy!$C$102</f>
        <v>-257454.89246</v>
      </c>
      <c r="E20" s="373">
        <f t="shared" si="7"/>
        <v>-257454.89246</v>
      </c>
      <c r="F20" s="373">
        <f t="shared" si="7"/>
        <v>-257454.89246</v>
      </c>
      <c r="G20" s="373">
        <f t="shared" si="7"/>
        <v>-257454.89246</v>
      </c>
      <c r="H20" s="373">
        <f t="shared" si="7"/>
        <v>-257454.89246</v>
      </c>
      <c r="I20" s="373">
        <f t="shared" si="7"/>
        <v>-257454.89246</v>
      </c>
      <c r="J20" s="373">
        <f t="shared" si="7"/>
        <v>-257454.89246</v>
      </c>
      <c r="K20" s="373">
        <f t="shared" si="7"/>
        <v>-257454.89246</v>
      </c>
      <c r="L20" s="373">
        <f t="shared" si="7"/>
        <v>-257454.89246</v>
      </c>
      <c r="M20" s="373">
        <f t="shared" si="7"/>
        <v>-257454.89246</v>
      </c>
      <c r="N20" s="373">
        <f t="shared" si="7"/>
        <v>-257454.89246</v>
      </c>
      <c r="O20" s="373">
        <f t="shared" si="7"/>
        <v>-257454.89246</v>
      </c>
      <c r="P20" s="373">
        <f t="shared" si="7"/>
        <v>-257454.89246</v>
      </c>
      <c r="Q20" s="373">
        <f t="shared" si="7"/>
        <v>-257454.89246</v>
      </c>
      <c r="R20" s="382">
        <f t="shared" si="7"/>
        <v>-257454.89246</v>
      </c>
    </row>
    <row r="21" spans="1:19" ht="12.75" customHeight="1" x14ac:dyDescent="0.3">
      <c r="A21" s="620"/>
      <c r="B21" s="381" t="s">
        <v>132</v>
      </c>
      <c r="C21" s="373">
        <f t="shared" si="6"/>
        <v>-1328406.9093000002</v>
      </c>
      <c r="D21" s="373">
        <f>-Alternatívy!$C$92</f>
        <v>-88560.460620000013</v>
      </c>
      <c r="E21" s="373">
        <f t="shared" si="7"/>
        <v>-88560.460620000013</v>
      </c>
      <c r="F21" s="373">
        <f t="shared" si="7"/>
        <v>-88560.460620000013</v>
      </c>
      <c r="G21" s="373">
        <f t="shared" si="7"/>
        <v>-88560.460620000013</v>
      </c>
      <c r="H21" s="373">
        <f t="shared" si="7"/>
        <v>-88560.460620000013</v>
      </c>
      <c r="I21" s="373">
        <f t="shared" si="7"/>
        <v>-88560.460620000013</v>
      </c>
      <c r="J21" s="373">
        <f t="shared" si="7"/>
        <v>-88560.460620000013</v>
      </c>
      <c r="K21" s="373">
        <f t="shared" si="7"/>
        <v>-88560.460620000013</v>
      </c>
      <c r="L21" s="373">
        <f t="shared" si="7"/>
        <v>-88560.460620000013</v>
      </c>
      <c r="M21" s="373">
        <f t="shared" si="7"/>
        <v>-88560.460620000013</v>
      </c>
      <c r="N21" s="373">
        <f t="shared" si="7"/>
        <v>-88560.460620000013</v>
      </c>
      <c r="O21" s="373">
        <f t="shared" si="7"/>
        <v>-88560.460620000013</v>
      </c>
      <c r="P21" s="373">
        <f t="shared" si="7"/>
        <v>-88560.460620000013</v>
      </c>
      <c r="Q21" s="373">
        <f t="shared" si="7"/>
        <v>-88560.460620000013</v>
      </c>
      <c r="R21" s="382">
        <f t="shared" si="7"/>
        <v>-88560.460620000013</v>
      </c>
    </row>
    <row r="22" spans="1:19" ht="13.5" customHeight="1" x14ac:dyDescent="0.3">
      <c r="A22" s="620"/>
      <c r="B22" s="383" t="s">
        <v>212</v>
      </c>
      <c r="C22" s="428">
        <f t="shared" si="6"/>
        <v>-38421383.077199988</v>
      </c>
      <c r="D22" s="428">
        <f t="shared" ref="D22:R22" si="8">SUM(D16:D21)</f>
        <v>-2561425.5384799996</v>
      </c>
      <c r="E22" s="428">
        <f t="shared" si="8"/>
        <v>-2561425.5384799996</v>
      </c>
      <c r="F22" s="428">
        <f t="shared" si="8"/>
        <v>-2561425.5384799996</v>
      </c>
      <c r="G22" s="428">
        <f t="shared" si="8"/>
        <v>-2561425.5384799996</v>
      </c>
      <c r="H22" s="428">
        <f t="shared" si="8"/>
        <v>-2561425.5384799996</v>
      </c>
      <c r="I22" s="428">
        <f t="shared" si="8"/>
        <v>-2561425.5384799996</v>
      </c>
      <c r="J22" s="428">
        <f t="shared" si="8"/>
        <v>-2561425.5384799996</v>
      </c>
      <c r="K22" s="428">
        <f t="shared" si="8"/>
        <v>-2561425.5384799996</v>
      </c>
      <c r="L22" s="428">
        <f t="shared" si="8"/>
        <v>-2561425.5384799996</v>
      </c>
      <c r="M22" s="428">
        <f t="shared" si="8"/>
        <v>-2561425.5384799996</v>
      </c>
      <c r="N22" s="428">
        <f t="shared" si="8"/>
        <v>-2561425.5384799996</v>
      </c>
      <c r="O22" s="428">
        <f t="shared" si="8"/>
        <v>-2561425.5384799996</v>
      </c>
      <c r="P22" s="428">
        <f t="shared" si="8"/>
        <v>-2561425.5384799996</v>
      </c>
      <c r="Q22" s="428">
        <f t="shared" si="8"/>
        <v>-2561425.5384799996</v>
      </c>
      <c r="R22" s="429">
        <f t="shared" si="8"/>
        <v>-2561425.5384799996</v>
      </c>
    </row>
    <row r="23" spans="1:19" ht="13.5" customHeight="1" x14ac:dyDescent="0.3">
      <c r="A23" s="620"/>
      <c r="B23" s="381"/>
      <c r="C23" s="373"/>
      <c r="D23" s="373"/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82"/>
    </row>
    <row r="24" spans="1:19" ht="13.5" customHeight="1" x14ac:dyDescent="0.3">
      <c r="A24" s="620"/>
      <c r="B24" s="381" t="s">
        <v>272</v>
      </c>
      <c r="C24" s="373">
        <f>SUM(D24:R24)</f>
        <v>-4335750</v>
      </c>
      <c r="D24" s="373">
        <f>-'Status po prestahovaní'!$C$29</f>
        <v>-289050</v>
      </c>
      <c r="E24" s="373">
        <f>-'Status po prestahovaní'!$C$29</f>
        <v>-289050</v>
      </c>
      <c r="F24" s="373">
        <f>-'Status po prestahovaní'!$C$29</f>
        <v>-289050</v>
      </c>
      <c r="G24" s="373">
        <f>-'Status po prestahovaní'!$C$29</f>
        <v>-289050</v>
      </c>
      <c r="H24" s="373">
        <f>-'Status po prestahovaní'!$C$29</f>
        <v>-289050</v>
      </c>
      <c r="I24" s="373">
        <f>-'Status po prestahovaní'!$C$29</f>
        <v>-289050</v>
      </c>
      <c r="J24" s="373">
        <f>-'Status po prestahovaní'!$C$29</f>
        <v>-289050</v>
      </c>
      <c r="K24" s="373">
        <f>-'Status po prestahovaní'!$C$29</f>
        <v>-289050</v>
      </c>
      <c r="L24" s="373">
        <f>-'Status po prestahovaní'!$C$29</f>
        <v>-289050</v>
      </c>
      <c r="M24" s="373">
        <f>-'Status po prestahovaní'!$C$29</f>
        <v>-289050</v>
      </c>
      <c r="N24" s="373">
        <f>-'Status po prestahovaní'!$C$29</f>
        <v>-289050</v>
      </c>
      <c r="O24" s="373">
        <f>-'Status po prestahovaní'!$C$29</f>
        <v>-289050</v>
      </c>
      <c r="P24" s="373">
        <f>-'Status po prestahovaní'!$C$29</f>
        <v>-289050</v>
      </c>
      <c r="Q24" s="373">
        <f>-'Status po prestahovaní'!$C$29</f>
        <v>-289050</v>
      </c>
      <c r="R24" s="382">
        <f>-'Status po prestahovaní'!$C$29</f>
        <v>-289050</v>
      </c>
      <c r="S24" s="371"/>
    </row>
    <row r="25" spans="1:19" ht="13.5" customHeight="1" x14ac:dyDescent="0.3">
      <c r="A25" s="620"/>
      <c r="B25" s="381" t="s">
        <v>273</v>
      </c>
      <c r="C25" s="373">
        <f>SUM(D25:R25)</f>
        <v>-3597750</v>
      </c>
      <c r="D25" s="373">
        <f>-'Status po prestahovaní'!$C$30</f>
        <v>-239850</v>
      </c>
      <c r="E25" s="373">
        <f>-'Status po prestahovaní'!$C$30</f>
        <v>-239850</v>
      </c>
      <c r="F25" s="373">
        <f>-'Status po prestahovaní'!$C$30</f>
        <v>-239850</v>
      </c>
      <c r="G25" s="373">
        <f>-'Status po prestahovaní'!$C$30</f>
        <v>-239850</v>
      </c>
      <c r="H25" s="373">
        <f>-'Status po prestahovaní'!$C$30</f>
        <v>-239850</v>
      </c>
      <c r="I25" s="373">
        <f>-'Status po prestahovaní'!$C$30</f>
        <v>-239850</v>
      </c>
      <c r="J25" s="373">
        <f>-'Status po prestahovaní'!$C$30</f>
        <v>-239850</v>
      </c>
      <c r="K25" s="373">
        <f>-'Status po prestahovaní'!$C$30</f>
        <v>-239850</v>
      </c>
      <c r="L25" s="373">
        <f>-'Status po prestahovaní'!$C$30</f>
        <v>-239850</v>
      </c>
      <c r="M25" s="373">
        <f>-'Status po prestahovaní'!$C$30</f>
        <v>-239850</v>
      </c>
      <c r="N25" s="373">
        <f>-'Status po prestahovaní'!$C$30</f>
        <v>-239850</v>
      </c>
      <c r="O25" s="373">
        <f>-'Status po prestahovaní'!$C$30</f>
        <v>-239850</v>
      </c>
      <c r="P25" s="373">
        <f>-'Status po prestahovaní'!$C$30</f>
        <v>-239850</v>
      </c>
      <c r="Q25" s="373">
        <f>-'Status po prestahovaní'!$C$30</f>
        <v>-239850</v>
      </c>
      <c r="R25" s="382">
        <f>-'Status po prestahovaní'!$C$30</f>
        <v>-239850</v>
      </c>
      <c r="S25" s="371"/>
    </row>
    <row r="26" spans="1:19" ht="13.5" customHeight="1" thickBot="1" x14ac:dyDescent="0.35">
      <c r="A26" s="620"/>
      <c r="B26" s="406"/>
      <c r="C26" s="407"/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8"/>
      <c r="S26" s="371"/>
    </row>
    <row r="27" spans="1:19" ht="13.5" customHeight="1" thickBot="1" x14ac:dyDescent="0.35">
      <c r="A27" s="620"/>
      <c r="B27" s="395" t="s">
        <v>274</v>
      </c>
      <c r="C27" s="396">
        <f>SUM(C22:C25)</f>
        <v>-46354883.077199988</v>
      </c>
      <c r="D27" s="396">
        <f t="shared" ref="D27:R27" si="9">SUM(D22:D25)</f>
        <v>-3090325.5384799996</v>
      </c>
      <c r="E27" s="396">
        <f t="shared" si="9"/>
        <v>-3090325.5384799996</v>
      </c>
      <c r="F27" s="396">
        <f t="shared" si="9"/>
        <v>-3090325.5384799996</v>
      </c>
      <c r="G27" s="396">
        <f t="shared" si="9"/>
        <v>-3090325.5384799996</v>
      </c>
      <c r="H27" s="396">
        <f t="shared" si="9"/>
        <v>-3090325.5384799996</v>
      </c>
      <c r="I27" s="396">
        <f t="shared" si="9"/>
        <v>-3090325.5384799996</v>
      </c>
      <c r="J27" s="396">
        <f t="shared" si="9"/>
        <v>-3090325.5384799996</v>
      </c>
      <c r="K27" s="396">
        <f t="shared" si="9"/>
        <v>-3090325.5384799996</v>
      </c>
      <c r="L27" s="396">
        <f t="shared" si="9"/>
        <v>-3090325.5384799996</v>
      </c>
      <c r="M27" s="396">
        <f t="shared" si="9"/>
        <v>-3090325.5384799996</v>
      </c>
      <c r="N27" s="396">
        <f t="shared" si="9"/>
        <v>-3090325.5384799996</v>
      </c>
      <c r="O27" s="396">
        <f t="shared" si="9"/>
        <v>-3090325.5384799996</v>
      </c>
      <c r="P27" s="396">
        <f t="shared" si="9"/>
        <v>-3090325.5384799996</v>
      </c>
      <c r="Q27" s="396">
        <f t="shared" si="9"/>
        <v>-3090325.5384799996</v>
      </c>
      <c r="R27" s="397">
        <f t="shared" si="9"/>
        <v>-3090325.5384799996</v>
      </c>
      <c r="S27" s="371"/>
    </row>
    <row r="28" spans="1:19" ht="13.5" customHeight="1" x14ac:dyDescent="0.3">
      <c r="A28" s="620"/>
      <c r="B28" s="398"/>
      <c r="C28" s="399"/>
      <c r="D28" s="399"/>
      <c r="E28" s="399"/>
      <c r="F28" s="399"/>
      <c r="G28" s="399"/>
      <c r="H28" s="399"/>
      <c r="I28" s="399"/>
      <c r="J28" s="399"/>
      <c r="K28" s="399"/>
      <c r="L28" s="399"/>
      <c r="M28" s="399"/>
      <c r="N28" s="399"/>
      <c r="O28" s="399"/>
      <c r="P28" s="399"/>
      <c r="Q28" s="399"/>
      <c r="R28" s="400"/>
      <c r="S28" s="372"/>
    </row>
    <row r="29" spans="1:19" ht="13.5" customHeight="1" thickBot="1" x14ac:dyDescent="0.35">
      <c r="A29" s="620"/>
      <c r="B29" s="401"/>
      <c r="C29" s="402"/>
      <c r="D29" s="403">
        <v>1</v>
      </c>
      <c r="E29" s="403">
        <v>2</v>
      </c>
      <c r="F29" s="403">
        <v>3</v>
      </c>
      <c r="G29" s="403">
        <v>4</v>
      </c>
      <c r="H29" s="403">
        <v>5</v>
      </c>
      <c r="I29" s="403">
        <v>6</v>
      </c>
      <c r="J29" s="403">
        <v>7</v>
      </c>
      <c r="K29" s="403">
        <v>8</v>
      </c>
      <c r="L29" s="403">
        <v>9</v>
      </c>
      <c r="M29" s="403">
        <v>10</v>
      </c>
      <c r="N29" s="403">
        <v>11</v>
      </c>
      <c r="O29" s="403">
        <v>12</v>
      </c>
      <c r="P29" s="403">
        <v>13</v>
      </c>
      <c r="Q29" s="403">
        <v>14</v>
      </c>
      <c r="R29" s="404">
        <v>15</v>
      </c>
    </row>
    <row r="30" spans="1:19" ht="14.55" customHeight="1" x14ac:dyDescent="0.3">
      <c r="A30" s="620"/>
      <c r="B30" s="384" t="s">
        <v>202</v>
      </c>
      <c r="C30" s="423" t="s">
        <v>33</v>
      </c>
      <c r="D30" s="385">
        <f>D3</f>
        <v>2026</v>
      </c>
      <c r="E30" s="385">
        <f t="shared" ref="E30:R30" si="10">$D$3+D29</f>
        <v>2027</v>
      </c>
      <c r="F30" s="385">
        <f t="shared" si="10"/>
        <v>2028</v>
      </c>
      <c r="G30" s="385">
        <f t="shared" si="10"/>
        <v>2029</v>
      </c>
      <c r="H30" s="385">
        <f t="shared" si="10"/>
        <v>2030</v>
      </c>
      <c r="I30" s="385">
        <f t="shared" si="10"/>
        <v>2031</v>
      </c>
      <c r="J30" s="385">
        <f t="shared" si="10"/>
        <v>2032</v>
      </c>
      <c r="K30" s="385">
        <f t="shared" si="10"/>
        <v>2033</v>
      </c>
      <c r="L30" s="385">
        <f t="shared" si="10"/>
        <v>2034</v>
      </c>
      <c r="M30" s="385">
        <f t="shared" si="10"/>
        <v>2035</v>
      </c>
      <c r="N30" s="385">
        <f t="shared" si="10"/>
        <v>2036</v>
      </c>
      <c r="O30" s="385">
        <f t="shared" si="10"/>
        <v>2037</v>
      </c>
      <c r="P30" s="385">
        <f t="shared" si="10"/>
        <v>2038</v>
      </c>
      <c r="Q30" s="385">
        <f t="shared" si="10"/>
        <v>2039</v>
      </c>
      <c r="R30" s="386">
        <f t="shared" si="10"/>
        <v>2040</v>
      </c>
    </row>
    <row r="31" spans="1:19" ht="13.5" customHeight="1" x14ac:dyDescent="0.3">
      <c r="A31" s="620"/>
      <c r="B31" s="387" t="s">
        <v>204</v>
      </c>
      <c r="C31" s="430">
        <f t="shared" ref="C31:C36" si="11">SUM(D31:R31)</f>
        <v>-8239293.4319999982</v>
      </c>
      <c r="D31" s="430">
        <f>-Alternatívy!$C$126</f>
        <v>-549286.22880000004</v>
      </c>
      <c r="E31" s="430">
        <f t="shared" ref="E31:R35" si="12">D31</f>
        <v>-549286.22880000004</v>
      </c>
      <c r="F31" s="430">
        <f t="shared" si="12"/>
        <v>-549286.22880000004</v>
      </c>
      <c r="G31" s="430">
        <f t="shared" si="12"/>
        <v>-549286.22880000004</v>
      </c>
      <c r="H31" s="430">
        <f t="shared" si="12"/>
        <v>-549286.22880000004</v>
      </c>
      <c r="I31" s="430">
        <f t="shared" si="12"/>
        <v>-549286.22880000004</v>
      </c>
      <c r="J31" s="430">
        <f t="shared" si="12"/>
        <v>-549286.22880000004</v>
      </c>
      <c r="K31" s="430">
        <f t="shared" si="12"/>
        <v>-549286.22880000004</v>
      </c>
      <c r="L31" s="430">
        <f t="shared" si="12"/>
        <v>-549286.22880000004</v>
      </c>
      <c r="M31" s="430">
        <f t="shared" si="12"/>
        <v>-549286.22880000004</v>
      </c>
      <c r="N31" s="430">
        <f t="shared" si="12"/>
        <v>-549286.22880000004</v>
      </c>
      <c r="O31" s="430">
        <f t="shared" si="12"/>
        <v>-549286.22880000004</v>
      </c>
      <c r="P31" s="430">
        <f t="shared" si="12"/>
        <v>-549286.22880000004</v>
      </c>
      <c r="Q31" s="430">
        <f t="shared" si="12"/>
        <v>-549286.22880000004</v>
      </c>
      <c r="R31" s="431">
        <f t="shared" si="12"/>
        <v>-549286.22880000004</v>
      </c>
    </row>
    <row r="32" spans="1:19" ht="13.5" customHeight="1" x14ac:dyDescent="0.3">
      <c r="A32" s="620"/>
      <c r="B32" s="387" t="s">
        <v>205</v>
      </c>
      <c r="C32" s="430">
        <f t="shared" si="11"/>
        <v>-1702670.6880000003</v>
      </c>
      <c r="D32" s="430">
        <f>-Alternatívy!$C$129</f>
        <v>-113511.3792</v>
      </c>
      <c r="E32" s="430">
        <f t="shared" si="12"/>
        <v>-113511.3792</v>
      </c>
      <c r="F32" s="430">
        <f t="shared" si="12"/>
        <v>-113511.3792</v>
      </c>
      <c r="G32" s="430">
        <f t="shared" si="12"/>
        <v>-113511.3792</v>
      </c>
      <c r="H32" s="430">
        <f t="shared" si="12"/>
        <v>-113511.3792</v>
      </c>
      <c r="I32" s="430">
        <f t="shared" si="12"/>
        <v>-113511.3792</v>
      </c>
      <c r="J32" s="430">
        <f t="shared" si="12"/>
        <v>-113511.3792</v>
      </c>
      <c r="K32" s="430">
        <f t="shared" si="12"/>
        <v>-113511.3792</v>
      </c>
      <c r="L32" s="430">
        <f t="shared" si="12"/>
        <v>-113511.3792</v>
      </c>
      <c r="M32" s="430">
        <f t="shared" si="12"/>
        <v>-113511.3792</v>
      </c>
      <c r="N32" s="430">
        <f t="shared" si="12"/>
        <v>-113511.3792</v>
      </c>
      <c r="O32" s="430">
        <f t="shared" si="12"/>
        <v>-113511.3792</v>
      </c>
      <c r="P32" s="430">
        <f t="shared" si="12"/>
        <v>-113511.3792</v>
      </c>
      <c r="Q32" s="430">
        <f t="shared" si="12"/>
        <v>-113511.3792</v>
      </c>
      <c r="R32" s="431">
        <f t="shared" si="12"/>
        <v>-113511.3792</v>
      </c>
    </row>
    <row r="33" spans="1:18" ht="13.5" customHeight="1" x14ac:dyDescent="0.3">
      <c r="A33" s="620"/>
      <c r="B33" s="387" t="s">
        <v>208</v>
      </c>
      <c r="C33" s="430">
        <f t="shared" si="11"/>
        <v>-489809.37599999999</v>
      </c>
      <c r="D33" s="430">
        <f>-Alternatívy!C132</f>
        <v>-32653.9584</v>
      </c>
      <c r="E33" s="430">
        <f t="shared" si="12"/>
        <v>-32653.9584</v>
      </c>
      <c r="F33" s="430">
        <f t="shared" si="12"/>
        <v>-32653.9584</v>
      </c>
      <c r="G33" s="430">
        <f t="shared" si="12"/>
        <v>-32653.9584</v>
      </c>
      <c r="H33" s="430">
        <f t="shared" si="12"/>
        <v>-32653.9584</v>
      </c>
      <c r="I33" s="430">
        <f t="shared" si="12"/>
        <v>-32653.9584</v>
      </c>
      <c r="J33" s="430">
        <f t="shared" si="12"/>
        <v>-32653.9584</v>
      </c>
      <c r="K33" s="430">
        <f t="shared" si="12"/>
        <v>-32653.9584</v>
      </c>
      <c r="L33" s="430">
        <f t="shared" si="12"/>
        <v>-32653.9584</v>
      </c>
      <c r="M33" s="430">
        <f t="shared" si="12"/>
        <v>-32653.9584</v>
      </c>
      <c r="N33" s="430">
        <f t="shared" si="12"/>
        <v>-32653.9584</v>
      </c>
      <c r="O33" s="430">
        <f t="shared" si="12"/>
        <v>-32653.9584</v>
      </c>
      <c r="P33" s="430">
        <f t="shared" si="12"/>
        <v>-32653.9584</v>
      </c>
      <c r="Q33" s="430">
        <f t="shared" si="12"/>
        <v>-32653.9584</v>
      </c>
      <c r="R33" s="431">
        <f t="shared" si="12"/>
        <v>-32653.9584</v>
      </c>
    </row>
    <row r="34" spans="1:18" ht="13.5" customHeight="1" x14ac:dyDescent="0.3">
      <c r="A34" s="620"/>
      <c r="B34" s="387" t="s">
        <v>206</v>
      </c>
      <c r="C34" s="430">
        <f t="shared" si="11"/>
        <v>-1275105.6000000003</v>
      </c>
      <c r="D34" s="430">
        <f>-Alternatívy!$C$140</f>
        <v>-85007.040000000008</v>
      </c>
      <c r="E34" s="430">
        <f t="shared" si="12"/>
        <v>-85007.040000000008</v>
      </c>
      <c r="F34" s="430">
        <f t="shared" si="12"/>
        <v>-85007.040000000008</v>
      </c>
      <c r="G34" s="430">
        <f t="shared" si="12"/>
        <v>-85007.040000000008</v>
      </c>
      <c r="H34" s="430">
        <f t="shared" si="12"/>
        <v>-85007.040000000008</v>
      </c>
      <c r="I34" s="430">
        <f t="shared" si="12"/>
        <v>-85007.040000000008</v>
      </c>
      <c r="J34" s="430">
        <f t="shared" si="12"/>
        <v>-85007.040000000008</v>
      </c>
      <c r="K34" s="430">
        <f t="shared" si="12"/>
        <v>-85007.040000000008</v>
      </c>
      <c r="L34" s="430">
        <f t="shared" si="12"/>
        <v>-85007.040000000008</v>
      </c>
      <c r="M34" s="430">
        <f t="shared" si="12"/>
        <v>-85007.040000000008</v>
      </c>
      <c r="N34" s="430">
        <f t="shared" si="12"/>
        <v>-85007.040000000008</v>
      </c>
      <c r="O34" s="430">
        <f t="shared" si="12"/>
        <v>-85007.040000000008</v>
      </c>
      <c r="P34" s="430">
        <f t="shared" si="12"/>
        <v>-85007.040000000008</v>
      </c>
      <c r="Q34" s="430">
        <f t="shared" si="12"/>
        <v>-85007.040000000008</v>
      </c>
      <c r="R34" s="431">
        <f t="shared" si="12"/>
        <v>-85007.040000000008</v>
      </c>
    </row>
    <row r="35" spans="1:18" ht="13.5" customHeight="1" x14ac:dyDescent="0.3">
      <c r="A35" s="620"/>
      <c r="B35" s="387" t="s">
        <v>207</v>
      </c>
      <c r="C35" s="430">
        <f t="shared" si="11"/>
        <v>-733560.4500000003</v>
      </c>
      <c r="D35" s="430">
        <f>-Alternatívy!$C$142-Alternatívy!$C$144-Alternatívy!$C$145</f>
        <v>-48904.030000000006</v>
      </c>
      <c r="E35" s="430">
        <f t="shared" si="12"/>
        <v>-48904.030000000006</v>
      </c>
      <c r="F35" s="430">
        <f t="shared" si="12"/>
        <v>-48904.030000000006</v>
      </c>
      <c r="G35" s="430">
        <f t="shared" si="12"/>
        <v>-48904.030000000006</v>
      </c>
      <c r="H35" s="430">
        <f t="shared" si="12"/>
        <v>-48904.030000000006</v>
      </c>
      <c r="I35" s="430">
        <f t="shared" si="12"/>
        <v>-48904.030000000006</v>
      </c>
      <c r="J35" s="430">
        <f t="shared" si="12"/>
        <v>-48904.030000000006</v>
      </c>
      <c r="K35" s="430">
        <f t="shared" si="12"/>
        <v>-48904.030000000006</v>
      </c>
      <c r="L35" s="430">
        <f t="shared" si="12"/>
        <v>-48904.030000000006</v>
      </c>
      <c r="M35" s="430">
        <f t="shared" si="12"/>
        <v>-48904.030000000006</v>
      </c>
      <c r="N35" s="430">
        <f t="shared" si="12"/>
        <v>-48904.030000000006</v>
      </c>
      <c r="O35" s="430">
        <f t="shared" si="12"/>
        <v>-48904.030000000006</v>
      </c>
      <c r="P35" s="430">
        <f t="shared" si="12"/>
        <v>-48904.030000000006</v>
      </c>
      <c r="Q35" s="430">
        <f t="shared" si="12"/>
        <v>-48904.030000000006</v>
      </c>
      <c r="R35" s="431">
        <f t="shared" si="12"/>
        <v>-48904.030000000006</v>
      </c>
    </row>
    <row r="36" spans="1:18" ht="13.5" customHeight="1" x14ac:dyDescent="0.3">
      <c r="A36" s="620"/>
      <c r="B36" s="388" t="s">
        <v>212</v>
      </c>
      <c r="C36" s="432">
        <f t="shared" si="11"/>
        <v>-12440439.545999998</v>
      </c>
      <c r="D36" s="432">
        <f t="shared" ref="D36:R36" si="13">SUM(D31:D35)</f>
        <v>-829362.63640000008</v>
      </c>
      <c r="E36" s="432">
        <f t="shared" si="13"/>
        <v>-829362.63640000008</v>
      </c>
      <c r="F36" s="432">
        <f t="shared" si="13"/>
        <v>-829362.63640000008</v>
      </c>
      <c r="G36" s="432">
        <f t="shared" si="13"/>
        <v>-829362.63640000008</v>
      </c>
      <c r="H36" s="432">
        <f t="shared" si="13"/>
        <v>-829362.63640000008</v>
      </c>
      <c r="I36" s="432">
        <f t="shared" si="13"/>
        <v>-829362.63640000008</v>
      </c>
      <c r="J36" s="432">
        <f t="shared" si="13"/>
        <v>-829362.63640000008</v>
      </c>
      <c r="K36" s="432">
        <f t="shared" si="13"/>
        <v>-829362.63640000008</v>
      </c>
      <c r="L36" s="432">
        <f t="shared" si="13"/>
        <v>-829362.63640000008</v>
      </c>
      <c r="M36" s="432">
        <f t="shared" si="13"/>
        <v>-829362.63640000008</v>
      </c>
      <c r="N36" s="432">
        <f t="shared" si="13"/>
        <v>-829362.63640000008</v>
      </c>
      <c r="O36" s="432">
        <f t="shared" si="13"/>
        <v>-829362.63640000008</v>
      </c>
      <c r="P36" s="432">
        <f t="shared" si="13"/>
        <v>-829362.63640000008</v>
      </c>
      <c r="Q36" s="432">
        <f t="shared" si="13"/>
        <v>-829362.63640000008</v>
      </c>
      <c r="R36" s="433">
        <f t="shared" si="13"/>
        <v>-829362.63640000008</v>
      </c>
    </row>
    <row r="37" spans="1:18" ht="13.5" customHeight="1" x14ac:dyDescent="0.3">
      <c r="A37" s="620"/>
      <c r="B37" s="389"/>
      <c r="C37" s="434"/>
      <c r="D37" s="434"/>
      <c r="E37" s="434"/>
      <c r="F37" s="434"/>
      <c r="G37" s="434"/>
      <c r="H37" s="434"/>
      <c r="I37" s="434"/>
      <c r="J37" s="434"/>
      <c r="K37" s="434"/>
      <c r="L37" s="434"/>
      <c r="M37" s="434"/>
      <c r="N37" s="434"/>
      <c r="O37" s="434"/>
      <c r="P37" s="434"/>
      <c r="Q37" s="434"/>
      <c r="R37" s="435"/>
    </row>
    <row r="38" spans="1:18" ht="13.5" customHeight="1" x14ac:dyDescent="0.3">
      <c r="A38" s="620"/>
      <c r="B38" s="387" t="s">
        <v>270</v>
      </c>
      <c r="C38" s="430">
        <f>SUM(D38:R38)</f>
        <v>-1800000</v>
      </c>
      <c r="D38" s="430">
        <f>-'Status po prestahovaní'!$C$5</f>
        <v>-120000</v>
      </c>
      <c r="E38" s="430">
        <f>-'Status po prestahovaní'!$C$5</f>
        <v>-120000</v>
      </c>
      <c r="F38" s="430">
        <f>-'Status po prestahovaní'!$C$5</f>
        <v>-120000</v>
      </c>
      <c r="G38" s="430">
        <f>-'Status po prestahovaní'!$C$5</f>
        <v>-120000</v>
      </c>
      <c r="H38" s="430">
        <f>-'Status po prestahovaní'!$C$5</f>
        <v>-120000</v>
      </c>
      <c r="I38" s="430">
        <f>-'Status po prestahovaní'!$C$5</f>
        <v>-120000</v>
      </c>
      <c r="J38" s="430">
        <f>-'Status po prestahovaní'!$C$5</f>
        <v>-120000</v>
      </c>
      <c r="K38" s="430">
        <f>-'Status po prestahovaní'!$C$5</f>
        <v>-120000</v>
      </c>
      <c r="L38" s="430">
        <f>-'Status po prestahovaní'!$C$5</f>
        <v>-120000</v>
      </c>
      <c r="M38" s="430">
        <f>-'Status po prestahovaní'!$C$5</f>
        <v>-120000</v>
      </c>
      <c r="N38" s="430">
        <f>-'Status po prestahovaní'!$C$5</f>
        <v>-120000</v>
      </c>
      <c r="O38" s="430">
        <f>-'Status po prestahovaní'!$C$5</f>
        <v>-120000</v>
      </c>
      <c r="P38" s="430">
        <f>-'Status po prestahovaní'!$C$5</f>
        <v>-120000</v>
      </c>
      <c r="Q38" s="430">
        <f>-'Status po prestahovaní'!$C$5</f>
        <v>-120000</v>
      </c>
      <c r="R38" s="431">
        <f>-'Status po prestahovaní'!$C$5</f>
        <v>-120000</v>
      </c>
    </row>
    <row r="39" spans="1:18" ht="13.5" customHeight="1" thickBot="1" x14ac:dyDescent="0.35">
      <c r="A39" s="620"/>
      <c r="B39" s="390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6"/>
      <c r="N39" s="436"/>
      <c r="O39" s="436"/>
      <c r="P39" s="436"/>
      <c r="Q39" s="436"/>
      <c r="R39" s="437"/>
    </row>
    <row r="40" spans="1:18" ht="13.5" customHeight="1" thickBot="1" x14ac:dyDescent="0.35">
      <c r="A40" s="620"/>
      <c r="B40" s="427" t="s">
        <v>274</v>
      </c>
      <c r="C40" s="438">
        <f>SUM(C36:C38)</f>
        <v>-14240439.545999998</v>
      </c>
      <c r="D40" s="438">
        <f t="shared" ref="D40:R40" si="14">SUM(D36:D38)</f>
        <v>-949362.63640000008</v>
      </c>
      <c r="E40" s="438">
        <f t="shared" si="14"/>
        <v>-949362.63640000008</v>
      </c>
      <c r="F40" s="438">
        <f t="shared" si="14"/>
        <v>-949362.63640000008</v>
      </c>
      <c r="G40" s="438">
        <f t="shared" si="14"/>
        <v>-949362.63640000008</v>
      </c>
      <c r="H40" s="438">
        <f t="shared" si="14"/>
        <v>-949362.63640000008</v>
      </c>
      <c r="I40" s="438">
        <f t="shared" si="14"/>
        <v>-949362.63640000008</v>
      </c>
      <c r="J40" s="438">
        <f t="shared" si="14"/>
        <v>-949362.63640000008</v>
      </c>
      <c r="K40" s="438">
        <f t="shared" si="14"/>
        <v>-949362.63640000008</v>
      </c>
      <c r="L40" s="438">
        <f t="shared" si="14"/>
        <v>-949362.63640000008</v>
      </c>
      <c r="M40" s="438">
        <f t="shared" si="14"/>
        <v>-949362.63640000008</v>
      </c>
      <c r="N40" s="438">
        <f t="shared" si="14"/>
        <v>-949362.63640000008</v>
      </c>
      <c r="O40" s="438">
        <f t="shared" si="14"/>
        <v>-949362.63640000008</v>
      </c>
      <c r="P40" s="438">
        <f t="shared" si="14"/>
        <v>-949362.63640000008</v>
      </c>
      <c r="Q40" s="438">
        <f t="shared" si="14"/>
        <v>-949362.63640000008</v>
      </c>
      <c r="R40" s="439">
        <f t="shared" si="14"/>
        <v>-949362.63640000008</v>
      </c>
    </row>
    <row r="41" spans="1:18" ht="13.5" customHeight="1" x14ac:dyDescent="0.3">
      <c r="A41" s="620"/>
      <c r="B41" s="374"/>
      <c r="C41" s="375"/>
      <c r="D41" s="421"/>
      <c r="E41" s="421"/>
      <c r="F41" s="421"/>
      <c r="G41" s="421"/>
      <c r="H41" s="421"/>
      <c r="I41" s="421"/>
      <c r="J41" s="421"/>
      <c r="K41" s="421"/>
      <c r="L41" s="421"/>
      <c r="M41" s="421"/>
      <c r="N41" s="421"/>
      <c r="O41" s="421"/>
      <c r="P41" s="421"/>
      <c r="Q41" s="421"/>
      <c r="R41" s="422"/>
    </row>
    <row r="42" spans="1:18" ht="13.5" customHeight="1" thickBot="1" x14ac:dyDescent="0.35">
      <c r="A42" s="620"/>
      <c r="B42" s="401"/>
      <c r="C42" s="402"/>
      <c r="D42" s="403">
        <v>1</v>
      </c>
      <c r="E42" s="403">
        <v>2</v>
      </c>
      <c r="F42" s="403">
        <v>3</v>
      </c>
      <c r="G42" s="403">
        <v>4</v>
      </c>
      <c r="H42" s="403">
        <v>5</v>
      </c>
      <c r="I42" s="403">
        <v>6</v>
      </c>
      <c r="J42" s="403">
        <v>7</v>
      </c>
      <c r="K42" s="403">
        <v>8</v>
      </c>
      <c r="L42" s="403">
        <v>9</v>
      </c>
      <c r="M42" s="403">
        <v>10</v>
      </c>
      <c r="N42" s="403">
        <v>11</v>
      </c>
      <c r="O42" s="403">
        <v>12</v>
      </c>
      <c r="P42" s="403">
        <v>13</v>
      </c>
      <c r="Q42" s="403">
        <v>14</v>
      </c>
      <c r="R42" s="404">
        <v>15</v>
      </c>
    </row>
    <row r="43" spans="1:18" ht="13.5" customHeight="1" x14ac:dyDescent="0.3">
      <c r="A43" s="620"/>
      <c r="B43" s="391" t="s">
        <v>203</v>
      </c>
      <c r="C43" s="424" t="s">
        <v>33</v>
      </c>
      <c r="D43" s="392">
        <f>D3</f>
        <v>2026</v>
      </c>
      <c r="E43" s="392">
        <f t="shared" ref="E43:R43" si="15">$D$3+D42</f>
        <v>2027</v>
      </c>
      <c r="F43" s="392">
        <f t="shared" si="15"/>
        <v>2028</v>
      </c>
      <c r="G43" s="392">
        <f t="shared" si="15"/>
        <v>2029</v>
      </c>
      <c r="H43" s="392">
        <f t="shared" si="15"/>
        <v>2030</v>
      </c>
      <c r="I43" s="392">
        <f t="shared" si="15"/>
        <v>2031</v>
      </c>
      <c r="J43" s="392">
        <f t="shared" si="15"/>
        <v>2032</v>
      </c>
      <c r="K43" s="392">
        <f t="shared" si="15"/>
        <v>2033</v>
      </c>
      <c r="L43" s="392">
        <f t="shared" si="15"/>
        <v>2034</v>
      </c>
      <c r="M43" s="392">
        <f t="shared" si="15"/>
        <v>2035</v>
      </c>
      <c r="N43" s="392">
        <f t="shared" si="15"/>
        <v>2036</v>
      </c>
      <c r="O43" s="392">
        <f t="shared" si="15"/>
        <v>2037</v>
      </c>
      <c r="P43" s="392">
        <f t="shared" si="15"/>
        <v>2038</v>
      </c>
      <c r="Q43" s="392">
        <f t="shared" si="15"/>
        <v>2039</v>
      </c>
      <c r="R43" s="393">
        <f t="shared" si="15"/>
        <v>2040</v>
      </c>
    </row>
    <row r="44" spans="1:18" ht="13.5" customHeight="1" x14ac:dyDescent="0.3">
      <c r="A44" s="620"/>
      <c r="B44" s="489" t="s">
        <v>209</v>
      </c>
      <c r="C44" s="490">
        <f>SUM(D44:R44)</f>
        <v>-7136863.1999999993</v>
      </c>
      <c r="D44" s="490">
        <f>-Alternatívy!$C$161</f>
        <v>-475790.88000000006</v>
      </c>
      <c r="E44" s="490">
        <f t="shared" ref="E44:R45" si="16">D44</f>
        <v>-475790.88000000006</v>
      </c>
      <c r="F44" s="490">
        <f t="shared" si="16"/>
        <v>-475790.88000000006</v>
      </c>
      <c r="G44" s="490">
        <f t="shared" si="16"/>
        <v>-475790.88000000006</v>
      </c>
      <c r="H44" s="490">
        <f t="shared" si="16"/>
        <v>-475790.88000000006</v>
      </c>
      <c r="I44" s="490">
        <f t="shared" si="16"/>
        <v>-475790.88000000006</v>
      </c>
      <c r="J44" s="490">
        <f t="shared" si="16"/>
        <v>-475790.88000000006</v>
      </c>
      <c r="K44" s="490">
        <f t="shared" si="16"/>
        <v>-475790.88000000006</v>
      </c>
      <c r="L44" s="490">
        <f t="shared" si="16"/>
        <v>-475790.88000000006</v>
      </c>
      <c r="M44" s="490">
        <f t="shared" si="16"/>
        <v>-475790.88000000006</v>
      </c>
      <c r="N44" s="490">
        <f t="shared" si="16"/>
        <v>-475790.88000000006</v>
      </c>
      <c r="O44" s="490">
        <f t="shared" si="16"/>
        <v>-475790.88000000006</v>
      </c>
      <c r="P44" s="490">
        <f t="shared" si="16"/>
        <v>-475790.88000000006</v>
      </c>
      <c r="Q44" s="490">
        <f t="shared" si="16"/>
        <v>-475790.88000000006</v>
      </c>
      <c r="R44" s="491">
        <f t="shared" si="16"/>
        <v>-475790.88000000006</v>
      </c>
    </row>
    <row r="45" spans="1:18" ht="13.5" customHeight="1" thickBot="1" x14ac:dyDescent="0.35">
      <c r="A45" s="620"/>
      <c r="B45" s="492" t="s">
        <v>210</v>
      </c>
      <c r="C45" s="493">
        <f>SUM(D45:R45)</f>
        <v>-1217793.4199999997</v>
      </c>
      <c r="D45" s="493">
        <f>-Alternatívy!$C$164-Alternatívy!$C$167</f>
        <v>-81186.227999999988</v>
      </c>
      <c r="E45" s="493">
        <f t="shared" si="16"/>
        <v>-81186.227999999988</v>
      </c>
      <c r="F45" s="493">
        <f t="shared" si="16"/>
        <v>-81186.227999999988</v>
      </c>
      <c r="G45" s="493">
        <f t="shared" si="16"/>
        <v>-81186.227999999988</v>
      </c>
      <c r="H45" s="493">
        <f t="shared" si="16"/>
        <v>-81186.227999999988</v>
      </c>
      <c r="I45" s="493">
        <f t="shared" si="16"/>
        <v>-81186.227999999988</v>
      </c>
      <c r="J45" s="493">
        <f t="shared" si="16"/>
        <v>-81186.227999999988</v>
      </c>
      <c r="K45" s="493">
        <f t="shared" si="16"/>
        <v>-81186.227999999988</v>
      </c>
      <c r="L45" s="493">
        <f t="shared" si="16"/>
        <v>-81186.227999999988</v>
      </c>
      <c r="M45" s="493">
        <f t="shared" si="16"/>
        <v>-81186.227999999988</v>
      </c>
      <c r="N45" s="493">
        <f t="shared" si="16"/>
        <v>-81186.227999999988</v>
      </c>
      <c r="O45" s="493">
        <f t="shared" si="16"/>
        <v>-81186.227999999988</v>
      </c>
      <c r="P45" s="493">
        <f t="shared" si="16"/>
        <v>-81186.227999999988</v>
      </c>
      <c r="Q45" s="493">
        <f t="shared" si="16"/>
        <v>-81186.227999999988</v>
      </c>
      <c r="R45" s="494">
        <f t="shared" si="16"/>
        <v>-81186.227999999988</v>
      </c>
    </row>
    <row r="46" spans="1:18" ht="13.5" customHeight="1" thickBot="1" x14ac:dyDescent="0.35">
      <c r="A46" s="625"/>
      <c r="B46" s="495" t="s">
        <v>212</v>
      </c>
      <c r="C46" s="496">
        <f>SUM(D46:R46)</f>
        <v>-8354656.6200000001</v>
      </c>
      <c r="D46" s="496">
        <f t="shared" ref="D46:R46" si="17">SUM(D44:D45)</f>
        <v>-556977.10800000001</v>
      </c>
      <c r="E46" s="496">
        <f t="shared" si="17"/>
        <v>-556977.10800000001</v>
      </c>
      <c r="F46" s="496">
        <f t="shared" si="17"/>
        <v>-556977.10800000001</v>
      </c>
      <c r="G46" s="496">
        <f t="shared" si="17"/>
        <v>-556977.10800000001</v>
      </c>
      <c r="H46" s="496">
        <f t="shared" si="17"/>
        <v>-556977.10800000001</v>
      </c>
      <c r="I46" s="496">
        <f t="shared" si="17"/>
        <v>-556977.10800000001</v>
      </c>
      <c r="J46" s="496">
        <f t="shared" si="17"/>
        <v>-556977.10800000001</v>
      </c>
      <c r="K46" s="496">
        <f t="shared" si="17"/>
        <v>-556977.10800000001</v>
      </c>
      <c r="L46" s="496">
        <f t="shared" si="17"/>
        <v>-556977.10800000001</v>
      </c>
      <c r="M46" s="496">
        <f t="shared" si="17"/>
        <v>-556977.10800000001</v>
      </c>
      <c r="N46" s="496">
        <f t="shared" si="17"/>
        <v>-556977.10800000001</v>
      </c>
      <c r="O46" s="496">
        <f t="shared" si="17"/>
        <v>-556977.10800000001</v>
      </c>
      <c r="P46" s="496">
        <f t="shared" si="17"/>
        <v>-556977.10800000001</v>
      </c>
      <c r="Q46" s="496">
        <f t="shared" si="17"/>
        <v>-556977.10800000001</v>
      </c>
      <c r="R46" s="497">
        <f t="shared" si="17"/>
        <v>-556977.10800000001</v>
      </c>
    </row>
    <row r="47" spans="1:18" ht="14.4" thickBot="1" x14ac:dyDescent="0.35">
      <c r="C47" s="53"/>
    </row>
    <row r="48" spans="1:18" ht="16.2" thickBot="1" x14ac:dyDescent="0.35">
      <c r="B48" s="453" t="s">
        <v>276</v>
      </c>
      <c r="C48" s="451">
        <f>SUM(C12,C27,C40,C46)</f>
        <v>-87854159.03502503</v>
      </c>
      <c r="D48" s="451">
        <f t="shared" ref="D48:R48" si="18">SUM(D12,D27,D40,D46)</f>
        <v>-5856943.9356683362</v>
      </c>
      <c r="E48" s="451">
        <f t="shared" si="18"/>
        <v>-5856943.9356683362</v>
      </c>
      <c r="F48" s="451">
        <f t="shared" si="18"/>
        <v>-5856943.9356683362</v>
      </c>
      <c r="G48" s="451">
        <f t="shared" si="18"/>
        <v>-5856943.9356683362</v>
      </c>
      <c r="H48" s="451">
        <f t="shared" si="18"/>
        <v>-5856943.9356683362</v>
      </c>
      <c r="I48" s="451">
        <f t="shared" si="18"/>
        <v>-5856943.9356683362</v>
      </c>
      <c r="J48" s="451">
        <f t="shared" si="18"/>
        <v>-5856943.9356683362</v>
      </c>
      <c r="K48" s="451">
        <f t="shared" si="18"/>
        <v>-5856943.9356683362</v>
      </c>
      <c r="L48" s="451">
        <f t="shared" si="18"/>
        <v>-5856943.9356683362</v>
      </c>
      <c r="M48" s="451">
        <f t="shared" si="18"/>
        <v>-5856943.9356683362</v>
      </c>
      <c r="N48" s="451">
        <f t="shared" si="18"/>
        <v>-5856943.9356683362</v>
      </c>
      <c r="O48" s="451">
        <f t="shared" si="18"/>
        <v>-5856943.9356683362</v>
      </c>
      <c r="P48" s="451">
        <f t="shared" si="18"/>
        <v>-5856943.9356683362</v>
      </c>
      <c r="Q48" s="451">
        <f t="shared" si="18"/>
        <v>-5856943.9356683362</v>
      </c>
      <c r="R48" s="452">
        <f t="shared" si="18"/>
        <v>-5856943.9356683362</v>
      </c>
    </row>
    <row r="49" spans="1:18" ht="15.6" x14ac:dyDescent="0.3">
      <c r="B49" s="460"/>
      <c r="C49" s="461"/>
      <c r="D49" s="461"/>
      <c r="E49" s="461"/>
      <c r="F49" s="461"/>
      <c r="G49" s="461"/>
      <c r="H49" s="461"/>
      <c r="I49" s="461"/>
      <c r="J49" s="461"/>
      <c r="K49" s="461"/>
      <c r="L49" s="461"/>
      <c r="M49" s="461"/>
      <c r="N49" s="461"/>
      <c r="O49" s="461"/>
      <c r="P49" s="461"/>
      <c r="Q49" s="461"/>
      <c r="R49" s="461"/>
    </row>
    <row r="50" spans="1:18" ht="14.4" thickBot="1" x14ac:dyDescent="0.35">
      <c r="A50" s="623"/>
      <c r="B50" s="623"/>
      <c r="C50" s="38"/>
      <c r="D50" s="39">
        <v>1</v>
      </c>
      <c r="E50" s="39">
        <v>2</v>
      </c>
      <c r="F50" s="39">
        <v>3</v>
      </c>
      <c r="G50" s="39">
        <v>4</v>
      </c>
      <c r="H50" s="39">
        <v>5</v>
      </c>
      <c r="I50" s="39">
        <v>6</v>
      </c>
      <c r="J50" s="39">
        <v>7</v>
      </c>
      <c r="K50" s="39">
        <v>8</v>
      </c>
      <c r="L50" s="39">
        <v>9</v>
      </c>
      <c r="M50" s="39">
        <v>10</v>
      </c>
      <c r="N50" s="39">
        <v>11</v>
      </c>
      <c r="O50" s="39">
        <v>12</v>
      </c>
      <c r="P50" s="39">
        <v>13</v>
      </c>
      <c r="Q50" s="39">
        <v>14</v>
      </c>
      <c r="R50" s="39">
        <v>15</v>
      </c>
    </row>
    <row r="51" spans="1:18" s="40" customFormat="1" ht="16.2" customHeight="1" x14ac:dyDescent="0.3">
      <c r="A51" s="619" t="s">
        <v>153</v>
      </c>
      <c r="B51" s="353" t="s">
        <v>157</v>
      </c>
      <c r="C51" s="354" t="s">
        <v>33</v>
      </c>
      <c r="D51" s="355">
        <f>D15</f>
        <v>2026</v>
      </c>
      <c r="E51" s="356">
        <f t="shared" ref="E51:R51" si="19">$D$3+D50</f>
        <v>2027</v>
      </c>
      <c r="F51" s="357">
        <f t="shared" si="19"/>
        <v>2028</v>
      </c>
      <c r="G51" s="358">
        <f t="shared" si="19"/>
        <v>2029</v>
      </c>
      <c r="H51" s="356">
        <f t="shared" si="19"/>
        <v>2030</v>
      </c>
      <c r="I51" s="356">
        <f t="shared" si="19"/>
        <v>2031</v>
      </c>
      <c r="J51" s="356">
        <f t="shared" si="19"/>
        <v>2032</v>
      </c>
      <c r="K51" s="356">
        <f t="shared" si="19"/>
        <v>2033</v>
      </c>
      <c r="L51" s="356">
        <f t="shared" si="19"/>
        <v>2034</v>
      </c>
      <c r="M51" s="356">
        <f t="shared" si="19"/>
        <v>2035</v>
      </c>
      <c r="N51" s="356">
        <f t="shared" si="19"/>
        <v>2036</v>
      </c>
      <c r="O51" s="356">
        <f t="shared" si="19"/>
        <v>2037</v>
      </c>
      <c r="P51" s="356">
        <f t="shared" si="19"/>
        <v>2038</v>
      </c>
      <c r="Q51" s="356">
        <f t="shared" si="19"/>
        <v>2039</v>
      </c>
      <c r="R51" s="359">
        <f t="shared" si="19"/>
        <v>2040</v>
      </c>
    </row>
    <row r="52" spans="1:18" x14ac:dyDescent="0.3">
      <c r="A52" s="621"/>
      <c r="B52" s="471" t="s">
        <v>9</v>
      </c>
      <c r="C52" s="472">
        <f>SUM(D52:R52)</f>
        <v>-24611220</v>
      </c>
      <c r="D52" s="148">
        <f>-Alternatívy!$E$184</f>
        <v>-1640748</v>
      </c>
      <c r="E52" s="148">
        <f>-Alternatívy!$F$184</f>
        <v>-1640748</v>
      </c>
      <c r="F52" s="148">
        <f>-Alternatívy!$G$184</f>
        <v>-1640748</v>
      </c>
      <c r="G52" s="150">
        <f>F52</f>
        <v>-1640748</v>
      </c>
      <c r="H52" s="146">
        <f t="shared" ref="H52:R55" si="20">G52</f>
        <v>-1640748</v>
      </c>
      <c r="I52" s="146">
        <f t="shared" si="20"/>
        <v>-1640748</v>
      </c>
      <c r="J52" s="146">
        <f t="shared" si="20"/>
        <v>-1640748</v>
      </c>
      <c r="K52" s="146">
        <f t="shared" si="20"/>
        <v>-1640748</v>
      </c>
      <c r="L52" s="146">
        <f t="shared" si="20"/>
        <v>-1640748</v>
      </c>
      <c r="M52" s="146">
        <f t="shared" si="20"/>
        <v>-1640748</v>
      </c>
      <c r="N52" s="146">
        <f t="shared" si="20"/>
        <v>-1640748</v>
      </c>
      <c r="O52" s="146">
        <f t="shared" si="20"/>
        <v>-1640748</v>
      </c>
      <c r="P52" s="146">
        <f t="shared" si="20"/>
        <v>-1640748</v>
      </c>
      <c r="Q52" s="146">
        <f t="shared" si="20"/>
        <v>-1640748</v>
      </c>
      <c r="R52" s="360">
        <f t="shared" si="20"/>
        <v>-1640748</v>
      </c>
    </row>
    <row r="53" spans="1:18" x14ac:dyDescent="0.3">
      <c r="A53" s="621"/>
      <c r="B53" s="471" t="s">
        <v>54</v>
      </c>
      <c r="C53" s="472">
        <f>SUM(D53:R53)</f>
        <v>-2789639.9999999995</v>
      </c>
      <c r="D53" s="148">
        <f>-Alternatívy!$C$207</f>
        <v>-185975.99999999997</v>
      </c>
      <c r="E53" s="146">
        <f>D53</f>
        <v>-185975.99999999997</v>
      </c>
      <c r="F53" s="149">
        <f t="shared" ref="F53:G55" si="21">E53</f>
        <v>-185975.99999999997</v>
      </c>
      <c r="G53" s="150">
        <f t="shared" si="21"/>
        <v>-185975.99999999997</v>
      </c>
      <c r="H53" s="146">
        <f t="shared" si="20"/>
        <v>-185975.99999999997</v>
      </c>
      <c r="I53" s="146">
        <f t="shared" si="20"/>
        <v>-185975.99999999997</v>
      </c>
      <c r="J53" s="146">
        <f t="shared" si="20"/>
        <v>-185975.99999999997</v>
      </c>
      <c r="K53" s="146">
        <f t="shared" si="20"/>
        <v>-185975.99999999997</v>
      </c>
      <c r="L53" s="146">
        <f t="shared" si="20"/>
        <v>-185975.99999999997</v>
      </c>
      <c r="M53" s="146">
        <f t="shared" si="20"/>
        <v>-185975.99999999997</v>
      </c>
      <c r="N53" s="146">
        <f t="shared" si="20"/>
        <v>-185975.99999999997</v>
      </c>
      <c r="O53" s="146">
        <f t="shared" si="20"/>
        <v>-185975.99999999997</v>
      </c>
      <c r="P53" s="146">
        <f t="shared" si="20"/>
        <v>-185975.99999999997</v>
      </c>
      <c r="Q53" s="146">
        <f t="shared" si="20"/>
        <v>-185975.99999999997</v>
      </c>
      <c r="R53" s="360">
        <f t="shared" si="20"/>
        <v>-185975.99999999997</v>
      </c>
    </row>
    <row r="54" spans="1:18" x14ac:dyDescent="0.3">
      <c r="A54" s="621"/>
      <c r="B54" s="471" t="s">
        <v>55</v>
      </c>
      <c r="C54" s="472">
        <f>SUM(D54:R54)</f>
        <v>-5492519.9999999991</v>
      </c>
      <c r="D54" s="148">
        <f>-Alternatívy!$C$196</f>
        <v>-366167.99999999994</v>
      </c>
      <c r="E54" s="146">
        <f>D54</f>
        <v>-366167.99999999994</v>
      </c>
      <c r="F54" s="149">
        <f t="shared" si="21"/>
        <v>-366167.99999999994</v>
      </c>
      <c r="G54" s="150">
        <f t="shared" si="21"/>
        <v>-366167.99999999994</v>
      </c>
      <c r="H54" s="146">
        <f t="shared" si="20"/>
        <v>-366167.99999999994</v>
      </c>
      <c r="I54" s="146">
        <f t="shared" si="20"/>
        <v>-366167.99999999994</v>
      </c>
      <c r="J54" s="146">
        <f t="shared" si="20"/>
        <v>-366167.99999999994</v>
      </c>
      <c r="K54" s="146">
        <f t="shared" si="20"/>
        <v>-366167.99999999994</v>
      </c>
      <c r="L54" s="146">
        <f t="shared" si="20"/>
        <v>-366167.99999999994</v>
      </c>
      <c r="M54" s="146">
        <f t="shared" si="20"/>
        <v>-366167.99999999994</v>
      </c>
      <c r="N54" s="146">
        <f t="shared" si="20"/>
        <v>-366167.99999999994</v>
      </c>
      <c r="O54" s="146">
        <f t="shared" si="20"/>
        <v>-366167.99999999994</v>
      </c>
      <c r="P54" s="146">
        <f t="shared" si="20"/>
        <v>-366167.99999999994</v>
      </c>
      <c r="Q54" s="146">
        <f t="shared" si="20"/>
        <v>-366167.99999999994</v>
      </c>
      <c r="R54" s="360">
        <f t="shared" si="20"/>
        <v>-366167.99999999994</v>
      </c>
    </row>
    <row r="55" spans="1:18" ht="14.4" thickBot="1" x14ac:dyDescent="0.35">
      <c r="A55" s="621"/>
      <c r="B55" s="473" t="s">
        <v>56</v>
      </c>
      <c r="C55" s="474">
        <f>SUM(D55:R55)</f>
        <v>-2509740</v>
      </c>
      <c r="D55" s="454">
        <f>-Alternatívy!$C$191</f>
        <v>-167316</v>
      </c>
      <c r="E55" s="455">
        <f>D55</f>
        <v>-167316</v>
      </c>
      <c r="F55" s="456">
        <f t="shared" si="21"/>
        <v>-167316</v>
      </c>
      <c r="G55" s="457">
        <f t="shared" si="21"/>
        <v>-167316</v>
      </c>
      <c r="H55" s="455">
        <f t="shared" si="20"/>
        <v>-167316</v>
      </c>
      <c r="I55" s="455">
        <f t="shared" si="20"/>
        <v>-167316</v>
      </c>
      <c r="J55" s="455">
        <f t="shared" si="20"/>
        <v>-167316</v>
      </c>
      <c r="K55" s="455">
        <f t="shared" si="20"/>
        <v>-167316</v>
      </c>
      <c r="L55" s="455">
        <f t="shared" si="20"/>
        <v>-167316</v>
      </c>
      <c r="M55" s="455">
        <f t="shared" si="20"/>
        <v>-167316</v>
      </c>
      <c r="N55" s="455">
        <f t="shared" si="20"/>
        <v>-167316</v>
      </c>
      <c r="O55" s="455">
        <f t="shared" si="20"/>
        <v>-167316</v>
      </c>
      <c r="P55" s="455">
        <f t="shared" si="20"/>
        <v>-167316</v>
      </c>
      <c r="Q55" s="455">
        <f t="shared" si="20"/>
        <v>-167316</v>
      </c>
      <c r="R55" s="458">
        <f t="shared" si="20"/>
        <v>-167316</v>
      </c>
    </row>
    <row r="56" spans="1:18" ht="14.4" thickBot="1" x14ac:dyDescent="0.35">
      <c r="A56" s="621"/>
      <c r="B56" s="475" t="s">
        <v>212</v>
      </c>
      <c r="C56" s="476">
        <f>SUM(D56:R56)</f>
        <v>-35403120</v>
      </c>
      <c r="D56" s="477">
        <f>SUM(D52:D55)</f>
        <v>-2360208</v>
      </c>
      <c r="E56" s="478">
        <f t="shared" ref="E56:R56" si="22">SUM(E52:E55)</f>
        <v>-2360208</v>
      </c>
      <c r="F56" s="479">
        <f t="shared" si="22"/>
        <v>-2360208</v>
      </c>
      <c r="G56" s="480">
        <f t="shared" si="22"/>
        <v>-2360208</v>
      </c>
      <c r="H56" s="478">
        <f t="shared" si="22"/>
        <v>-2360208</v>
      </c>
      <c r="I56" s="478">
        <f t="shared" si="22"/>
        <v>-2360208</v>
      </c>
      <c r="J56" s="478">
        <f t="shared" si="22"/>
        <v>-2360208</v>
      </c>
      <c r="K56" s="478">
        <f t="shared" si="22"/>
        <v>-2360208</v>
      </c>
      <c r="L56" s="478">
        <f t="shared" si="22"/>
        <v>-2360208</v>
      </c>
      <c r="M56" s="478">
        <f t="shared" si="22"/>
        <v>-2360208</v>
      </c>
      <c r="N56" s="478">
        <f t="shared" si="22"/>
        <v>-2360208</v>
      </c>
      <c r="O56" s="478">
        <f t="shared" si="22"/>
        <v>-2360208</v>
      </c>
      <c r="P56" s="478">
        <f t="shared" si="22"/>
        <v>-2360208</v>
      </c>
      <c r="Q56" s="478">
        <f t="shared" si="22"/>
        <v>-2360208</v>
      </c>
      <c r="R56" s="481">
        <f t="shared" si="22"/>
        <v>-2360208</v>
      </c>
    </row>
    <row r="57" spans="1:18" x14ac:dyDescent="0.3">
      <c r="A57" s="621"/>
      <c r="B57" s="459"/>
      <c r="C57" s="421"/>
      <c r="D57" s="421"/>
      <c r="E57" s="421"/>
      <c r="F57" s="421"/>
      <c r="G57" s="421"/>
      <c r="H57" s="421"/>
      <c r="I57" s="421"/>
      <c r="J57" s="421"/>
      <c r="K57" s="421"/>
      <c r="L57" s="421"/>
      <c r="M57" s="421"/>
      <c r="N57" s="421"/>
      <c r="O57" s="421"/>
      <c r="P57" s="421"/>
      <c r="Q57" s="421"/>
      <c r="R57" s="422"/>
    </row>
    <row r="58" spans="1:18" x14ac:dyDescent="0.3">
      <c r="A58" s="621"/>
      <c r="B58" s="361"/>
      <c r="C58" s="44"/>
      <c r="D58" s="45">
        <v>1</v>
      </c>
      <c r="E58" s="45">
        <v>2</v>
      </c>
      <c r="F58" s="45">
        <v>3</v>
      </c>
      <c r="G58" s="45">
        <v>4</v>
      </c>
      <c r="H58" s="45">
        <v>5</v>
      </c>
      <c r="I58" s="45">
        <v>6</v>
      </c>
      <c r="J58" s="45">
        <v>7</v>
      </c>
      <c r="K58" s="45">
        <v>8</v>
      </c>
      <c r="L58" s="45">
        <v>9</v>
      </c>
      <c r="M58" s="45">
        <v>10</v>
      </c>
      <c r="N58" s="45">
        <v>11</v>
      </c>
      <c r="O58" s="45">
        <v>12</v>
      </c>
      <c r="P58" s="45">
        <v>13</v>
      </c>
      <c r="Q58" s="45">
        <v>14</v>
      </c>
      <c r="R58" s="219">
        <v>15</v>
      </c>
    </row>
    <row r="59" spans="1:18" ht="15.6" x14ac:dyDescent="0.3">
      <c r="A59" s="621"/>
      <c r="B59" s="362" t="s">
        <v>158</v>
      </c>
      <c r="C59" s="468" t="s">
        <v>33</v>
      </c>
      <c r="D59" s="43">
        <f>D51</f>
        <v>2026</v>
      </c>
      <c r="E59" s="43">
        <f t="shared" ref="E59:R59" si="23">$D$3+D58</f>
        <v>2027</v>
      </c>
      <c r="F59" s="43">
        <f t="shared" si="23"/>
        <v>2028</v>
      </c>
      <c r="G59" s="42">
        <f t="shared" si="23"/>
        <v>2029</v>
      </c>
      <c r="H59" s="43">
        <f t="shared" si="23"/>
        <v>2030</v>
      </c>
      <c r="I59" s="43">
        <f t="shared" si="23"/>
        <v>2031</v>
      </c>
      <c r="J59" s="43">
        <f t="shared" si="23"/>
        <v>2032</v>
      </c>
      <c r="K59" s="43">
        <f t="shared" si="23"/>
        <v>2033</v>
      </c>
      <c r="L59" s="43">
        <f t="shared" si="23"/>
        <v>2034</v>
      </c>
      <c r="M59" s="43">
        <f t="shared" si="23"/>
        <v>2035</v>
      </c>
      <c r="N59" s="43">
        <f t="shared" si="23"/>
        <v>2036</v>
      </c>
      <c r="O59" s="43">
        <f t="shared" si="23"/>
        <v>2037</v>
      </c>
      <c r="P59" s="43">
        <f t="shared" si="23"/>
        <v>2038</v>
      </c>
      <c r="Q59" s="43">
        <f t="shared" si="23"/>
        <v>2039</v>
      </c>
      <c r="R59" s="363">
        <f t="shared" si="23"/>
        <v>2040</v>
      </c>
    </row>
    <row r="60" spans="1:18" x14ac:dyDescent="0.3">
      <c r="A60" s="621"/>
      <c r="B60" s="482" t="s">
        <v>9</v>
      </c>
      <c r="C60" s="483">
        <f t="shared" ref="C60:C65" si="24">SUM(D60:R60)</f>
        <v>-31730400</v>
      </c>
      <c r="D60" s="147">
        <f>-Alternatívy!$E$222</f>
        <v>-2115360</v>
      </c>
      <c r="E60" s="147">
        <f>-Alternatívy!$F$222</f>
        <v>-2115360</v>
      </c>
      <c r="F60" s="147">
        <f>-Alternatívy!$G$222</f>
        <v>-2115360</v>
      </c>
      <c r="G60" s="151">
        <f>F60</f>
        <v>-2115360</v>
      </c>
      <c r="H60" s="147">
        <f t="shared" ref="H60:R63" si="25">G60</f>
        <v>-2115360</v>
      </c>
      <c r="I60" s="147">
        <f t="shared" si="25"/>
        <v>-2115360</v>
      </c>
      <c r="J60" s="147">
        <f t="shared" si="25"/>
        <v>-2115360</v>
      </c>
      <c r="K60" s="147">
        <f t="shared" si="25"/>
        <v>-2115360</v>
      </c>
      <c r="L60" s="147">
        <f t="shared" si="25"/>
        <v>-2115360</v>
      </c>
      <c r="M60" s="147">
        <f t="shared" si="25"/>
        <v>-2115360</v>
      </c>
      <c r="N60" s="147">
        <f t="shared" si="25"/>
        <v>-2115360</v>
      </c>
      <c r="O60" s="147">
        <f t="shared" si="25"/>
        <v>-2115360</v>
      </c>
      <c r="P60" s="147">
        <f t="shared" si="25"/>
        <v>-2115360</v>
      </c>
      <c r="Q60" s="147">
        <f t="shared" si="25"/>
        <v>-2115360</v>
      </c>
      <c r="R60" s="364">
        <f t="shared" si="25"/>
        <v>-2115360</v>
      </c>
    </row>
    <row r="61" spans="1:18" x14ac:dyDescent="0.3">
      <c r="A61" s="621"/>
      <c r="B61" s="482" t="s">
        <v>54</v>
      </c>
      <c r="C61" s="483">
        <f t="shared" si="24"/>
        <v>-2502900</v>
      </c>
      <c r="D61" s="147">
        <f>-Alternatívy!$C$245</f>
        <v>-166860</v>
      </c>
      <c r="E61" s="147">
        <f>D61</f>
        <v>-166860</v>
      </c>
      <c r="F61" s="147">
        <f t="shared" ref="F61:G63" si="26">E61</f>
        <v>-166860</v>
      </c>
      <c r="G61" s="147">
        <f t="shared" si="26"/>
        <v>-166860</v>
      </c>
      <c r="H61" s="147">
        <f t="shared" si="25"/>
        <v>-166860</v>
      </c>
      <c r="I61" s="147">
        <f t="shared" si="25"/>
        <v>-166860</v>
      </c>
      <c r="J61" s="147">
        <f t="shared" si="25"/>
        <v>-166860</v>
      </c>
      <c r="K61" s="147">
        <f t="shared" si="25"/>
        <v>-166860</v>
      </c>
      <c r="L61" s="147">
        <f t="shared" si="25"/>
        <v>-166860</v>
      </c>
      <c r="M61" s="147">
        <f t="shared" si="25"/>
        <v>-166860</v>
      </c>
      <c r="N61" s="147">
        <f t="shared" si="25"/>
        <v>-166860</v>
      </c>
      <c r="O61" s="147">
        <f t="shared" si="25"/>
        <v>-166860</v>
      </c>
      <c r="P61" s="147">
        <f t="shared" si="25"/>
        <v>-166860</v>
      </c>
      <c r="Q61" s="147">
        <f t="shared" si="25"/>
        <v>-166860</v>
      </c>
      <c r="R61" s="364">
        <f t="shared" si="25"/>
        <v>-166860</v>
      </c>
    </row>
    <row r="62" spans="1:18" x14ac:dyDescent="0.3">
      <c r="A62" s="621"/>
      <c r="B62" s="482" t="s">
        <v>55</v>
      </c>
      <c r="C62" s="483">
        <f t="shared" si="24"/>
        <v>-8586000</v>
      </c>
      <c r="D62" s="147">
        <f>-Alternatívy!$C$234</f>
        <v>-572400</v>
      </c>
      <c r="E62" s="147">
        <f>D62</f>
        <v>-572400</v>
      </c>
      <c r="F62" s="147">
        <f t="shared" si="26"/>
        <v>-572400</v>
      </c>
      <c r="G62" s="147">
        <f t="shared" si="26"/>
        <v>-572400</v>
      </c>
      <c r="H62" s="147">
        <f t="shared" si="25"/>
        <v>-572400</v>
      </c>
      <c r="I62" s="147">
        <f t="shared" si="25"/>
        <v>-572400</v>
      </c>
      <c r="J62" s="147">
        <f t="shared" si="25"/>
        <v>-572400</v>
      </c>
      <c r="K62" s="147">
        <f t="shared" si="25"/>
        <v>-572400</v>
      </c>
      <c r="L62" s="147">
        <f t="shared" si="25"/>
        <v>-572400</v>
      </c>
      <c r="M62" s="147">
        <f t="shared" si="25"/>
        <v>-572400</v>
      </c>
      <c r="N62" s="147">
        <f t="shared" si="25"/>
        <v>-572400</v>
      </c>
      <c r="O62" s="147">
        <f t="shared" si="25"/>
        <v>-572400</v>
      </c>
      <c r="P62" s="147">
        <f t="shared" si="25"/>
        <v>-572400</v>
      </c>
      <c r="Q62" s="147">
        <f t="shared" si="25"/>
        <v>-572400</v>
      </c>
      <c r="R62" s="364">
        <f t="shared" si="25"/>
        <v>-572400</v>
      </c>
    </row>
    <row r="63" spans="1:18" x14ac:dyDescent="0.3">
      <c r="A63" s="621"/>
      <c r="B63" s="482" t="s">
        <v>56</v>
      </c>
      <c r="C63" s="483">
        <f t="shared" si="24"/>
        <v>-1908000</v>
      </c>
      <c r="D63" s="147">
        <f>-Alternatívy!$C$229</f>
        <v>-127200</v>
      </c>
      <c r="E63" s="147">
        <f>D63</f>
        <v>-127200</v>
      </c>
      <c r="F63" s="147">
        <f t="shared" si="26"/>
        <v>-127200</v>
      </c>
      <c r="G63" s="147">
        <f t="shared" si="26"/>
        <v>-127200</v>
      </c>
      <c r="H63" s="147">
        <f t="shared" si="25"/>
        <v>-127200</v>
      </c>
      <c r="I63" s="147">
        <f t="shared" si="25"/>
        <v>-127200</v>
      </c>
      <c r="J63" s="147">
        <f t="shared" si="25"/>
        <v>-127200</v>
      </c>
      <c r="K63" s="147">
        <f t="shared" si="25"/>
        <v>-127200</v>
      </c>
      <c r="L63" s="147">
        <f t="shared" si="25"/>
        <v>-127200</v>
      </c>
      <c r="M63" s="147">
        <f t="shared" si="25"/>
        <v>-127200</v>
      </c>
      <c r="N63" s="147">
        <f t="shared" si="25"/>
        <v>-127200</v>
      </c>
      <c r="O63" s="147">
        <f t="shared" si="25"/>
        <v>-127200</v>
      </c>
      <c r="P63" s="147">
        <f t="shared" si="25"/>
        <v>-127200</v>
      </c>
      <c r="Q63" s="147">
        <f t="shared" si="25"/>
        <v>-127200</v>
      </c>
      <c r="R63" s="364">
        <f t="shared" si="25"/>
        <v>-127200</v>
      </c>
    </row>
    <row r="64" spans="1:18" ht="14.4" thickBot="1" x14ac:dyDescent="0.35">
      <c r="A64" s="621"/>
      <c r="B64" s="484" t="s">
        <v>213</v>
      </c>
      <c r="C64" s="485">
        <f t="shared" si="24"/>
        <v>-44727300</v>
      </c>
      <c r="D64" s="486">
        <f>SUM(D60:D63)</f>
        <v>-2981820</v>
      </c>
      <c r="E64" s="486">
        <f t="shared" ref="E64:R64" si="27">SUM(E60:E63)</f>
        <v>-2981820</v>
      </c>
      <c r="F64" s="486">
        <f t="shared" si="27"/>
        <v>-2981820</v>
      </c>
      <c r="G64" s="486">
        <f t="shared" si="27"/>
        <v>-2981820</v>
      </c>
      <c r="H64" s="487">
        <f t="shared" si="27"/>
        <v>-2981820</v>
      </c>
      <c r="I64" s="487">
        <f t="shared" si="27"/>
        <v>-2981820</v>
      </c>
      <c r="J64" s="487">
        <f t="shared" si="27"/>
        <v>-2981820</v>
      </c>
      <c r="K64" s="487">
        <f t="shared" si="27"/>
        <v>-2981820</v>
      </c>
      <c r="L64" s="487">
        <f t="shared" si="27"/>
        <v>-2981820</v>
      </c>
      <c r="M64" s="487">
        <f t="shared" si="27"/>
        <v>-2981820</v>
      </c>
      <c r="N64" s="487">
        <f t="shared" si="27"/>
        <v>-2981820</v>
      </c>
      <c r="O64" s="487">
        <f t="shared" si="27"/>
        <v>-2981820</v>
      </c>
      <c r="P64" s="487">
        <f t="shared" si="27"/>
        <v>-2981820</v>
      </c>
      <c r="Q64" s="487">
        <f t="shared" si="27"/>
        <v>-2981820</v>
      </c>
      <c r="R64" s="488">
        <f t="shared" si="27"/>
        <v>-2981820</v>
      </c>
    </row>
    <row r="65" spans="1:18" ht="15" thickTop="1" thickBot="1" x14ac:dyDescent="0.35">
      <c r="A65" s="621"/>
      <c r="B65" s="484" t="s">
        <v>212</v>
      </c>
      <c r="C65" s="485">
        <f t="shared" si="24"/>
        <v>-55014579.000000015</v>
      </c>
      <c r="D65" s="486">
        <f>-Alternatívy!$C$250</f>
        <v>-3667638.6</v>
      </c>
      <c r="E65" s="486">
        <f>D65</f>
        <v>-3667638.6</v>
      </c>
      <c r="F65" s="486">
        <f t="shared" ref="F65:R65" si="28">E65</f>
        <v>-3667638.6</v>
      </c>
      <c r="G65" s="486">
        <f t="shared" si="28"/>
        <v>-3667638.6</v>
      </c>
      <c r="H65" s="487">
        <f t="shared" si="28"/>
        <v>-3667638.6</v>
      </c>
      <c r="I65" s="487">
        <f t="shared" si="28"/>
        <v>-3667638.6</v>
      </c>
      <c r="J65" s="487">
        <f t="shared" si="28"/>
        <v>-3667638.6</v>
      </c>
      <c r="K65" s="487">
        <f t="shared" si="28"/>
        <v>-3667638.6</v>
      </c>
      <c r="L65" s="487">
        <f t="shared" si="28"/>
        <v>-3667638.6</v>
      </c>
      <c r="M65" s="487">
        <f t="shared" si="28"/>
        <v>-3667638.6</v>
      </c>
      <c r="N65" s="487">
        <f t="shared" si="28"/>
        <v>-3667638.6</v>
      </c>
      <c r="O65" s="487">
        <f t="shared" si="28"/>
        <v>-3667638.6</v>
      </c>
      <c r="P65" s="487">
        <f t="shared" si="28"/>
        <v>-3667638.6</v>
      </c>
      <c r="Q65" s="487">
        <f t="shared" si="28"/>
        <v>-3667638.6</v>
      </c>
      <c r="R65" s="488">
        <f t="shared" si="28"/>
        <v>-3667638.6</v>
      </c>
    </row>
    <row r="66" spans="1:18" ht="14.4" thickTop="1" x14ac:dyDescent="0.3">
      <c r="A66" s="621"/>
      <c r="B66" s="374"/>
      <c r="C66" s="466"/>
      <c r="D66" s="466"/>
      <c r="E66" s="466"/>
      <c r="F66" s="466"/>
      <c r="G66" s="466"/>
      <c r="H66" s="466"/>
      <c r="I66" s="466"/>
      <c r="J66" s="466"/>
      <c r="K66" s="466"/>
      <c r="L66" s="466"/>
      <c r="M66" s="466"/>
      <c r="N66" s="466"/>
      <c r="O66" s="466"/>
      <c r="P66" s="466"/>
      <c r="Q66" s="466"/>
      <c r="R66" s="467"/>
    </row>
    <row r="67" spans="1:18" x14ac:dyDescent="0.3">
      <c r="A67" s="621"/>
      <c r="B67" s="361"/>
      <c r="C67" s="44"/>
      <c r="D67" s="45">
        <v>1</v>
      </c>
      <c r="E67" s="45">
        <v>2</v>
      </c>
      <c r="F67" s="45">
        <v>3</v>
      </c>
      <c r="G67" s="45">
        <v>4</v>
      </c>
      <c r="H67" s="45">
        <v>5</v>
      </c>
      <c r="I67" s="45">
        <v>6</v>
      </c>
      <c r="J67" s="45">
        <v>7</v>
      </c>
      <c r="K67" s="45">
        <v>8</v>
      </c>
      <c r="L67" s="45">
        <v>9</v>
      </c>
      <c r="M67" s="45">
        <v>10</v>
      </c>
      <c r="N67" s="45">
        <v>11</v>
      </c>
      <c r="O67" s="45">
        <v>12</v>
      </c>
      <c r="P67" s="45">
        <v>13</v>
      </c>
      <c r="Q67" s="45">
        <v>14</v>
      </c>
      <c r="R67" s="219">
        <v>15</v>
      </c>
    </row>
    <row r="68" spans="1:18" ht="15.6" x14ac:dyDescent="0.3">
      <c r="A68" s="621"/>
      <c r="B68" s="365" t="s">
        <v>202</v>
      </c>
      <c r="C68" s="470" t="s">
        <v>33</v>
      </c>
      <c r="D68" s="216">
        <f>D3</f>
        <v>2026</v>
      </c>
      <c r="E68" s="216">
        <f t="shared" ref="E68:R68" si="29">$D$3+D67</f>
        <v>2027</v>
      </c>
      <c r="F68" s="216">
        <f t="shared" si="29"/>
        <v>2028</v>
      </c>
      <c r="G68" s="216">
        <f t="shared" si="29"/>
        <v>2029</v>
      </c>
      <c r="H68" s="216">
        <f t="shared" si="29"/>
        <v>2030</v>
      </c>
      <c r="I68" s="216">
        <f t="shared" si="29"/>
        <v>2031</v>
      </c>
      <c r="J68" s="216">
        <f t="shared" si="29"/>
        <v>2032</v>
      </c>
      <c r="K68" s="216">
        <f t="shared" si="29"/>
        <v>2033</v>
      </c>
      <c r="L68" s="216">
        <f t="shared" si="29"/>
        <v>2034</v>
      </c>
      <c r="M68" s="216">
        <f t="shared" si="29"/>
        <v>2035</v>
      </c>
      <c r="N68" s="216">
        <f t="shared" si="29"/>
        <v>2036</v>
      </c>
      <c r="O68" s="216">
        <f t="shared" si="29"/>
        <v>2037</v>
      </c>
      <c r="P68" s="216">
        <f t="shared" si="29"/>
        <v>2038</v>
      </c>
      <c r="Q68" s="216">
        <f t="shared" si="29"/>
        <v>2039</v>
      </c>
      <c r="R68" s="220">
        <f t="shared" si="29"/>
        <v>2040</v>
      </c>
    </row>
    <row r="69" spans="1:18" x14ac:dyDescent="0.3">
      <c r="A69" s="621"/>
      <c r="B69" s="498" t="s">
        <v>124</v>
      </c>
      <c r="C69" s="499">
        <f>SUM(D69:R69)</f>
        <v>-2249310.5950795203</v>
      </c>
      <c r="D69" s="499">
        <f>-Alternatívy!$C$388-Alternatívy!$C$387-Alternatívy!$C$383</f>
        <v>-149954.039671968</v>
      </c>
      <c r="E69" s="499">
        <f>D69</f>
        <v>-149954.039671968</v>
      </c>
      <c r="F69" s="499">
        <f t="shared" ref="F69:R69" si="30">E69</f>
        <v>-149954.039671968</v>
      </c>
      <c r="G69" s="499">
        <f t="shared" si="30"/>
        <v>-149954.039671968</v>
      </c>
      <c r="H69" s="499">
        <f t="shared" si="30"/>
        <v>-149954.039671968</v>
      </c>
      <c r="I69" s="499">
        <f t="shared" si="30"/>
        <v>-149954.039671968</v>
      </c>
      <c r="J69" s="499">
        <f t="shared" si="30"/>
        <v>-149954.039671968</v>
      </c>
      <c r="K69" s="499">
        <f t="shared" si="30"/>
        <v>-149954.039671968</v>
      </c>
      <c r="L69" s="499">
        <f t="shared" si="30"/>
        <v>-149954.039671968</v>
      </c>
      <c r="M69" s="499">
        <f t="shared" si="30"/>
        <v>-149954.039671968</v>
      </c>
      <c r="N69" s="499">
        <f t="shared" si="30"/>
        <v>-149954.039671968</v>
      </c>
      <c r="O69" s="499">
        <f t="shared" si="30"/>
        <v>-149954.039671968</v>
      </c>
      <c r="P69" s="499">
        <f t="shared" si="30"/>
        <v>-149954.039671968</v>
      </c>
      <c r="Q69" s="499">
        <f t="shared" si="30"/>
        <v>-149954.039671968</v>
      </c>
      <c r="R69" s="500">
        <f t="shared" si="30"/>
        <v>-149954.039671968</v>
      </c>
    </row>
    <row r="70" spans="1:18" ht="14.4" thickBot="1" x14ac:dyDescent="0.35">
      <c r="A70" s="621"/>
      <c r="B70" s="498" t="s">
        <v>125</v>
      </c>
      <c r="C70" s="499">
        <f>SUM(D70:R70)</f>
        <v>-3242247.6268799999</v>
      </c>
      <c r="D70" s="499">
        <f>-Alternatívy!$C$381</f>
        <v>-216149.84179199999</v>
      </c>
      <c r="E70" s="499">
        <f t="shared" ref="E70:R70" si="31">D70</f>
        <v>-216149.84179199999</v>
      </c>
      <c r="F70" s="499">
        <f t="shared" si="31"/>
        <v>-216149.84179199999</v>
      </c>
      <c r="G70" s="499">
        <f t="shared" si="31"/>
        <v>-216149.84179199999</v>
      </c>
      <c r="H70" s="499">
        <f t="shared" si="31"/>
        <v>-216149.84179199999</v>
      </c>
      <c r="I70" s="499">
        <f t="shared" si="31"/>
        <v>-216149.84179199999</v>
      </c>
      <c r="J70" s="499">
        <f t="shared" si="31"/>
        <v>-216149.84179199999</v>
      </c>
      <c r="K70" s="499">
        <f t="shared" si="31"/>
        <v>-216149.84179199999</v>
      </c>
      <c r="L70" s="499">
        <f t="shared" si="31"/>
        <v>-216149.84179199999</v>
      </c>
      <c r="M70" s="499">
        <f t="shared" si="31"/>
        <v>-216149.84179199999</v>
      </c>
      <c r="N70" s="499">
        <f t="shared" si="31"/>
        <v>-216149.84179199999</v>
      </c>
      <c r="O70" s="499">
        <f t="shared" si="31"/>
        <v>-216149.84179199999</v>
      </c>
      <c r="P70" s="499">
        <f t="shared" si="31"/>
        <v>-216149.84179199999</v>
      </c>
      <c r="Q70" s="499">
        <f t="shared" si="31"/>
        <v>-216149.84179199999</v>
      </c>
      <c r="R70" s="500">
        <f t="shared" si="31"/>
        <v>-216149.84179199999</v>
      </c>
    </row>
    <row r="71" spans="1:18" ht="14.4" thickBot="1" x14ac:dyDescent="0.35">
      <c r="A71" s="621"/>
      <c r="B71" s="501" t="s">
        <v>57</v>
      </c>
      <c r="C71" s="502">
        <f>SUM(D71:R71)</f>
        <v>-5491558.2219595211</v>
      </c>
      <c r="D71" s="502">
        <f t="shared" ref="D71:R71" si="32">SUM(D69:D70)</f>
        <v>-366103.88146396796</v>
      </c>
      <c r="E71" s="502">
        <f t="shared" si="32"/>
        <v>-366103.88146396796</v>
      </c>
      <c r="F71" s="502">
        <f t="shared" si="32"/>
        <v>-366103.88146396796</v>
      </c>
      <c r="G71" s="502">
        <f t="shared" si="32"/>
        <v>-366103.88146396796</v>
      </c>
      <c r="H71" s="502">
        <f t="shared" si="32"/>
        <v>-366103.88146396796</v>
      </c>
      <c r="I71" s="502">
        <f t="shared" si="32"/>
        <v>-366103.88146396796</v>
      </c>
      <c r="J71" s="502">
        <f t="shared" si="32"/>
        <v>-366103.88146396796</v>
      </c>
      <c r="K71" s="502">
        <f t="shared" si="32"/>
        <v>-366103.88146396796</v>
      </c>
      <c r="L71" s="502">
        <f t="shared" si="32"/>
        <v>-366103.88146396796</v>
      </c>
      <c r="M71" s="502">
        <f t="shared" si="32"/>
        <v>-366103.88146396796</v>
      </c>
      <c r="N71" s="502">
        <f t="shared" si="32"/>
        <v>-366103.88146396796</v>
      </c>
      <c r="O71" s="502">
        <f t="shared" si="32"/>
        <v>-366103.88146396796</v>
      </c>
      <c r="P71" s="502">
        <f t="shared" si="32"/>
        <v>-366103.88146396796</v>
      </c>
      <c r="Q71" s="502">
        <f t="shared" si="32"/>
        <v>-366103.88146396796</v>
      </c>
      <c r="R71" s="503">
        <f t="shared" si="32"/>
        <v>-366103.88146396796</v>
      </c>
    </row>
    <row r="72" spans="1:18" x14ac:dyDescent="0.3">
      <c r="A72" s="621"/>
      <c r="B72" s="366"/>
      <c r="C72" s="217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8"/>
    </row>
    <row r="73" spans="1:18" x14ac:dyDescent="0.3">
      <c r="A73" s="621"/>
      <c r="B73" s="361"/>
      <c r="C73" s="44"/>
      <c r="D73" s="45">
        <v>1</v>
      </c>
      <c r="E73" s="45">
        <v>2</v>
      </c>
      <c r="F73" s="45">
        <v>3</v>
      </c>
      <c r="G73" s="45">
        <v>4</v>
      </c>
      <c r="H73" s="45">
        <v>5</v>
      </c>
      <c r="I73" s="45">
        <v>6</v>
      </c>
      <c r="J73" s="45">
        <v>7</v>
      </c>
      <c r="K73" s="45">
        <v>8</v>
      </c>
      <c r="L73" s="45">
        <v>9</v>
      </c>
      <c r="M73" s="45">
        <v>10</v>
      </c>
      <c r="N73" s="45">
        <v>11</v>
      </c>
      <c r="O73" s="45">
        <v>12</v>
      </c>
      <c r="P73" s="45">
        <v>13</v>
      </c>
      <c r="Q73" s="45">
        <v>14</v>
      </c>
      <c r="R73" s="219">
        <v>15</v>
      </c>
    </row>
    <row r="74" spans="1:18" ht="16.2" thickBot="1" x14ac:dyDescent="0.35">
      <c r="A74" s="621"/>
      <c r="B74" s="367" t="s">
        <v>203</v>
      </c>
      <c r="C74" s="469" t="s">
        <v>33</v>
      </c>
      <c r="D74" s="224">
        <f>D3</f>
        <v>2026</v>
      </c>
      <c r="E74" s="224">
        <f t="shared" ref="E74:R74" si="33">$D$3+D73</f>
        <v>2027</v>
      </c>
      <c r="F74" s="224">
        <f t="shared" si="33"/>
        <v>2028</v>
      </c>
      <c r="G74" s="224">
        <f t="shared" si="33"/>
        <v>2029</v>
      </c>
      <c r="H74" s="224">
        <f t="shared" si="33"/>
        <v>2030</v>
      </c>
      <c r="I74" s="224">
        <f t="shared" si="33"/>
        <v>2031</v>
      </c>
      <c r="J74" s="224">
        <f t="shared" si="33"/>
        <v>2032</v>
      </c>
      <c r="K74" s="224">
        <f t="shared" si="33"/>
        <v>2033</v>
      </c>
      <c r="L74" s="224">
        <f t="shared" si="33"/>
        <v>2034</v>
      </c>
      <c r="M74" s="224">
        <f t="shared" si="33"/>
        <v>2035</v>
      </c>
      <c r="N74" s="224">
        <f t="shared" si="33"/>
        <v>2036</v>
      </c>
      <c r="O74" s="224">
        <f t="shared" si="33"/>
        <v>2037</v>
      </c>
      <c r="P74" s="224">
        <f t="shared" si="33"/>
        <v>2038</v>
      </c>
      <c r="Q74" s="224">
        <f t="shared" si="33"/>
        <v>2039</v>
      </c>
      <c r="R74" s="225">
        <f t="shared" si="33"/>
        <v>2040</v>
      </c>
    </row>
    <row r="75" spans="1:18" x14ac:dyDescent="0.3">
      <c r="A75" s="621"/>
      <c r="B75" s="368"/>
      <c r="C75" s="228">
        <f t="shared" ref="C75:C76" si="34">SUM(D75:R75)</f>
        <v>0</v>
      </c>
      <c r="D75" s="226">
        <v>0</v>
      </c>
      <c r="E75" s="226">
        <f t="shared" ref="E75:R75" si="35">D75</f>
        <v>0</v>
      </c>
      <c r="F75" s="226">
        <f t="shared" si="35"/>
        <v>0</v>
      </c>
      <c r="G75" s="226">
        <f t="shared" si="35"/>
        <v>0</v>
      </c>
      <c r="H75" s="226">
        <f t="shared" si="35"/>
        <v>0</v>
      </c>
      <c r="I75" s="226">
        <f t="shared" si="35"/>
        <v>0</v>
      </c>
      <c r="J75" s="226">
        <f t="shared" si="35"/>
        <v>0</v>
      </c>
      <c r="K75" s="226">
        <f t="shared" si="35"/>
        <v>0</v>
      </c>
      <c r="L75" s="226">
        <f t="shared" si="35"/>
        <v>0</v>
      </c>
      <c r="M75" s="226">
        <f t="shared" si="35"/>
        <v>0</v>
      </c>
      <c r="N75" s="226">
        <f t="shared" si="35"/>
        <v>0</v>
      </c>
      <c r="O75" s="226">
        <f t="shared" si="35"/>
        <v>0</v>
      </c>
      <c r="P75" s="226">
        <f t="shared" si="35"/>
        <v>0</v>
      </c>
      <c r="Q75" s="226">
        <f t="shared" si="35"/>
        <v>0</v>
      </c>
      <c r="R75" s="227">
        <f t="shared" si="35"/>
        <v>0</v>
      </c>
    </row>
    <row r="76" spans="1:18" ht="14.4" thickBot="1" x14ac:dyDescent="0.35">
      <c r="A76" s="622"/>
      <c r="B76" s="369" t="s">
        <v>57</v>
      </c>
      <c r="C76" s="221">
        <f t="shared" si="34"/>
        <v>0</v>
      </c>
      <c r="D76" s="221">
        <f t="shared" ref="D76:R76" si="36">SUM(D75:D75)</f>
        <v>0</v>
      </c>
      <c r="E76" s="221">
        <f t="shared" si="36"/>
        <v>0</v>
      </c>
      <c r="F76" s="221">
        <f t="shared" si="36"/>
        <v>0</v>
      </c>
      <c r="G76" s="221">
        <f t="shared" si="36"/>
        <v>0</v>
      </c>
      <c r="H76" s="221">
        <f t="shared" si="36"/>
        <v>0</v>
      </c>
      <c r="I76" s="221">
        <f t="shared" si="36"/>
        <v>0</v>
      </c>
      <c r="J76" s="221">
        <f t="shared" si="36"/>
        <v>0</v>
      </c>
      <c r="K76" s="221">
        <f t="shared" si="36"/>
        <v>0</v>
      </c>
      <c r="L76" s="221">
        <f t="shared" si="36"/>
        <v>0</v>
      </c>
      <c r="M76" s="221">
        <f t="shared" si="36"/>
        <v>0</v>
      </c>
      <c r="N76" s="221">
        <f t="shared" si="36"/>
        <v>0</v>
      </c>
      <c r="O76" s="221">
        <f t="shared" si="36"/>
        <v>0</v>
      </c>
      <c r="P76" s="221">
        <f t="shared" si="36"/>
        <v>0</v>
      </c>
      <c r="Q76" s="221">
        <f t="shared" si="36"/>
        <v>0</v>
      </c>
      <c r="R76" s="222">
        <f t="shared" si="36"/>
        <v>0</v>
      </c>
    </row>
    <row r="77" spans="1:18" ht="14.4" thickBot="1" x14ac:dyDescent="0.35"/>
    <row r="78" spans="1:18" ht="16.2" thickBot="1" x14ac:dyDescent="0.35">
      <c r="B78" s="453" t="s">
        <v>277</v>
      </c>
      <c r="C78" s="451">
        <f t="shared" ref="C78:R78" si="37">SUM(C76,C71,C65,C56)</f>
        <v>-95909257.221959531</v>
      </c>
      <c r="D78" s="451">
        <f t="shared" si="37"/>
        <v>-6393950.4814639678</v>
      </c>
      <c r="E78" s="451">
        <f t="shared" si="37"/>
        <v>-6393950.4814639678</v>
      </c>
      <c r="F78" s="451">
        <f t="shared" si="37"/>
        <v>-6393950.4814639678</v>
      </c>
      <c r="G78" s="451">
        <f t="shared" si="37"/>
        <v>-6393950.4814639678</v>
      </c>
      <c r="H78" s="451">
        <f t="shared" si="37"/>
        <v>-6393950.4814639678</v>
      </c>
      <c r="I78" s="451">
        <f t="shared" si="37"/>
        <v>-6393950.4814639678</v>
      </c>
      <c r="J78" s="451">
        <f t="shared" si="37"/>
        <v>-6393950.4814639678</v>
      </c>
      <c r="K78" s="451">
        <f t="shared" si="37"/>
        <v>-6393950.4814639678</v>
      </c>
      <c r="L78" s="451">
        <f t="shared" si="37"/>
        <v>-6393950.4814639678</v>
      </c>
      <c r="M78" s="451">
        <f t="shared" si="37"/>
        <v>-6393950.4814639678</v>
      </c>
      <c r="N78" s="451">
        <f t="shared" si="37"/>
        <v>-6393950.4814639678</v>
      </c>
      <c r="O78" s="451">
        <f t="shared" si="37"/>
        <v>-6393950.4814639678</v>
      </c>
      <c r="P78" s="451">
        <f t="shared" si="37"/>
        <v>-6393950.4814639678</v>
      </c>
      <c r="Q78" s="451">
        <f t="shared" si="37"/>
        <v>-6393950.4814639678</v>
      </c>
      <c r="R78" s="452">
        <f t="shared" si="37"/>
        <v>-6393950.4814639678</v>
      </c>
    </row>
    <row r="79" spans="1:18" ht="15.6" x14ac:dyDescent="0.3">
      <c r="B79" s="460"/>
      <c r="C79" s="461"/>
      <c r="D79" s="461"/>
      <c r="E79" s="461"/>
      <c r="F79" s="461"/>
      <c r="G79" s="461"/>
      <c r="H79" s="461"/>
      <c r="I79" s="461"/>
      <c r="J79" s="461"/>
      <c r="K79" s="461"/>
      <c r="L79" s="461"/>
      <c r="M79" s="461"/>
      <c r="N79" s="461"/>
      <c r="O79" s="461"/>
      <c r="P79" s="461"/>
      <c r="Q79" s="461"/>
      <c r="R79" s="461"/>
    </row>
    <row r="80" spans="1:18" ht="14.4" thickBot="1" x14ac:dyDescent="0.35">
      <c r="A80" s="623"/>
      <c r="B80" s="626"/>
      <c r="C80" s="38"/>
      <c r="D80" s="39">
        <v>1</v>
      </c>
      <c r="E80" s="39">
        <v>2</v>
      </c>
      <c r="F80" s="39">
        <v>3</v>
      </c>
      <c r="G80" s="39">
        <v>4</v>
      </c>
      <c r="H80" s="39">
        <v>5</v>
      </c>
      <c r="I80" s="39">
        <v>6</v>
      </c>
      <c r="J80" s="39">
        <v>7</v>
      </c>
      <c r="K80" s="39">
        <v>8</v>
      </c>
      <c r="L80" s="39">
        <v>9</v>
      </c>
      <c r="M80" s="39">
        <v>10</v>
      </c>
      <c r="N80" s="39">
        <v>11</v>
      </c>
      <c r="O80" s="39">
        <v>12</v>
      </c>
      <c r="P80" s="39">
        <v>13</v>
      </c>
      <c r="Q80" s="39">
        <v>14</v>
      </c>
      <c r="R80" s="39">
        <v>15</v>
      </c>
    </row>
    <row r="81" spans="1:18" s="40" customFormat="1" ht="16.8" thickTop="1" thickBot="1" x14ac:dyDescent="0.35">
      <c r="A81" s="619" t="s">
        <v>145</v>
      </c>
      <c r="B81" s="506" t="s">
        <v>152</v>
      </c>
      <c r="C81" s="507" t="s">
        <v>33</v>
      </c>
      <c r="D81" s="508">
        <f>D59</f>
        <v>2026</v>
      </c>
      <c r="E81" s="508">
        <f t="shared" ref="E81:R81" si="38">$D$3+D80</f>
        <v>2027</v>
      </c>
      <c r="F81" s="508">
        <f t="shared" si="38"/>
        <v>2028</v>
      </c>
      <c r="G81" s="509">
        <f t="shared" si="38"/>
        <v>2029</v>
      </c>
      <c r="H81" s="508">
        <f t="shared" si="38"/>
        <v>2030</v>
      </c>
      <c r="I81" s="508">
        <f t="shared" si="38"/>
        <v>2031</v>
      </c>
      <c r="J81" s="508">
        <f t="shared" si="38"/>
        <v>2032</v>
      </c>
      <c r="K81" s="508">
        <f t="shared" si="38"/>
        <v>2033</v>
      </c>
      <c r="L81" s="508">
        <f t="shared" si="38"/>
        <v>2034</v>
      </c>
      <c r="M81" s="508">
        <f t="shared" si="38"/>
        <v>2035</v>
      </c>
      <c r="N81" s="508">
        <f t="shared" si="38"/>
        <v>2036</v>
      </c>
      <c r="O81" s="508">
        <f t="shared" si="38"/>
        <v>2037</v>
      </c>
      <c r="P81" s="508">
        <f t="shared" si="38"/>
        <v>2038</v>
      </c>
      <c r="Q81" s="508">
        <f t="shared" si="38"/>
        <v>2039</v>
      </c>
      <c r="R81" s="510">
        <f t="shared" si="38"/>
        <v>2040</v>
      </c>
    </row>
    <row r="82" spans="1:18" ht="12.75" customHeight="1" x14ac:dyDescent="0.3">
      <c r="A82" s="620"/>
      <c r="B82" s="516" t="s">
        <v>9</v>
      </c>
      <c r="C82" s="517">
        <f>SUM(D82:R82)</f>
        <v>-23272692</v>
      </c>
      <c r="D82" s="517">
        <f>-Alternatívy!$E$307</f>
        <v>-1287720</v>
      </c>
      <c r="E82" s="517">
        <f>-Alternatívy!$F$307</f>
        <v>-1395468</v>
      </c>
      <c r="F82" s="517">
        <f>-Alternatívy!$G$307</f>
        <v>-1583808</v>
      </c>
      <c r="G82" s="517">
        <f t="shared" ref="G82:R82" si="39">F82</f>
        <v>-1583808</v>
      </c>
      <c r="H82" s="517">
        <f t="shared" si="39"/>
        <v>-1583808</v>
      </c>
      <c r="I82" s="517">
        <f t="shared" si="39"/>
        <v>-1583808</v>
      </c>
      <c r="J82" s="517">
        <f t="shared" si="39"/>
        <v>-1583808</v>
      </c>
      <c r="K82" s="517">
        <f t="shared" si="39"/>
        <v>-1583808</v>
      </c>
      <c r="L82" s="517">
        <f t="shared" si="39"/>
        <v>-1583808</v>
      </c>
      <c r="M82" s="517">
        <f t="shared" si="39"/>
        <v>-1583808</v>
      </c>
      <c r="N82" s="517">
        <f t="shared" si="39"/>
        <v>-1583808</v>
      </c>
      <c r="O82" s="517">
        <f t="shared" si="39"/>
        <v>-1583808</v>
      </c>
      <c r="P82" s="517">
        <f t="shared" si="39"/>
        <v>-1583808</v>
      </c>
      <c r="Q82" s="517">
        <f t="shared" si="39"/>
        <v>-1583808</v>
      </c>
      <c r="R82" s="518">
        <f t="shared" si="39"/>
        <v>-1583808</v>
      </c>
    </row>
    <row r="83" spans="1:18" ht="12.75" customHeight="1" x14ac:dyDescent="0.3">
      <c r="A83" s="620"/>
      <c r="B83" s="519" t="s">
        <v>54</v>
      </c>
      <c r="C83" s="417">
        <f>SUM(D83:R83)</f>
        <v>-1992600</v>
      </c>
      <c r="D83" s="417">
        <f>-Alternatívy!$C$330</f>
        <v>-132840</v>
      </c>
      <c r="E83" s="417">
        <f>-Alternatívy!$C$330</f>
        <v>-132840</v>
      </c>
      <c r="F83" s="417">
        <f>-Alternatívy!$C$330</f>
        <v>-132840</v>
      </c>
      <c r="G83" s="417">
        <f>-Alternatívy!$C$330</f>
        <v>-132840</v>
      </c>
      <c r="H83" s="417">
        <f>-Alternatívy!$C$330</f>
        <v>-132840</v>
      </c>
      <c r="I83" s="417">
        <f>-Alternatívy!$C$330</f>
        <v>-132840</v>
      </c>
      <c r="J83" s="417">
        <f>-Alternatívy!$C$330</f>
        <v>-132840</v>
      </c>
      <c r="K83" s="417">
        <f>-Alternatívy!$C$330</f>
        <v>-132840</v>
      </c>
      <c r="L83" s="417">
        <f>-Alternatívy!$C$330</f>
        <v>-132840</v>
      </c>
      <c r="M83" s="417">
        <f>-Alternatívy!$C$330</f>
        <v>-132840</v>
      </c>
      <c r="N83" s="417">
        <f>-Alternatívy!$C$330</f>
        <v>-132840</v>
      </c>
      <c r="O83" s="417">
        <f>-Alternatívy!$C$330</f>
        <v>-132840</v>
      </c>
      <c r="P83" s="417">
        <f>-Alternatívy!$C$330</f>
        <v>-132840</v>
      </c>
      <c r="Q83" s="417">
        <f>-Alternatívy!$C$330</f>
        <v>-132840</v>
      </c>
      <c r="R83" s="419">
        <f>-Alternatívy!$C$330</f>
        <v>-132840</v>
      </c>
    </row>
    <row r="84" spans="1:18" ht="12.75" customHeight="1" x14ac:dyDescent="0.3">
      <c r="A84" s="620"/>
      <c r="B84" s="519" t="s">
        <v>55</v>
      </c>
      <c r="C84" s="417">
        <f>SUM(D84:R84)</f>
        <v>-5978700</v>
      </c>
      <c r="D84" s="417">
        <f>-Alternatívy!$C$316</f>
        <v>-398580</v>
      </c>
      <c r="E84" s="417">
        <f>-Alternatívy!$C$316</f>
        <v>-398580</v>
      </c>
      <c r="F84" s="417">
        <f>-Alternatívy!$C$316</f>
        <v>-398580</v>
      </c>
      <c r="G84" s="417">
        <f>-Alternatívy!$C$316</f>
        <v>-398580</v>
      </c>
      <c r="H84" s="417">
        <f>-Alternatívy!$C$316</f>
        <v>-398580</v>
      </c>
      <c r="I84" s="417">
        <f>-Alternatívy!$C$316</f>
        <v>-398580</v>
      </c>
      <c r="J84" s="417">
        <f>-Alternatívy!$C$316</f>
        <v>-398580</v>
      </c>
      <c r="K84" s="417">
        <f>-Alternatívy!$C$316</f>
        <v>-398580</v>
      </c>
      <c r="L84" s="417">
        <f>-Alternatívy!$C$316</f>
        <v>-398580</v>
      </c>
      <c r="M84" s="417">
        <f>-Alternatívy!$C$316</f>
        <v>-398580</v>
      </c>
      <c r="N84" s="417">
        <f>-Alternatívy!$C$316</f>
        <v>-398580</v>
      </c>
      <c r="O84" s="417">
        <f>-Alternatívy!$C$316</f>
        <v>-398580</v>
      </c>
      <c r="P84" s="417">
        <f>-Alternatívy!$C$316</f>
        <v>-398580</v>
      </c>
      <c r="Q84" s="417">
        <f>-Alternatívy!$C$316</f>
        <v>-398580</v>
      </c>
      <c r="R84" s="419">
        <f>-Alternatívy!$C$316</f>
        <v>-398580</v>
      </c>
    </row>
    <row r="85" spans="1:18" ht="12.75" customHeight="1" thickBot="1" x14ac:dyDescent="0.35">
      <c r="A85" s="620"/>
      <c r="B85" s="520" t="s">
        <v>56</v>
      </c>
      <c r="C85" s="521">
        <f>SUM(D85:R85)</f>
        <v>-1616220</v>
      </c>
      <c r="D85" s="521">
        <f>-Alternatívy!$C$314</f>
        <v>-107748</v>
      </c>
      <c r="E85" s="521">
        <f>-Alternatívy!$C$314</f>
        <v>-107748</v>
      </c>
      <c r="F85" s="521">
        <f>-Alternatívy!$C$314</f>
        <v>-107748</v>
      </c>
      <c r="G85" s="521">
        <f>-Alternatívy!$C$314</f>
        <v>-107748</v>
      </c>
      <c r="H85" s="521">
        <f>-Alternatívy!$C$314</f>
        <v>-107748</v>
      </c>
      <c r="I85" s="521">
        <f>-Alternatívy!$C$314</f>
        <v>-107748</v>
      </c>
      <c r="J85" s="521">
        <f>-Alternatívy!$C$314</f>
        <v>-107748</v>
      </c>
      <c r="K85" s="521">
        <f>-Alternatívy!$C$314</f>
        <v>-107748</v>
      </c>
      <c r="L85" s="521">
        <f>-Alternatívy!$C$314</f>
        <v>-107748</v>
      </c>
      <c r="M85" s="521">
        <f>-Alternatívy!$C$314</f>
        <v>-107748</v>
      </c>
      <c r="N85" s="521">
        <f>-Alternatívy!$C$314</f>
        <v>-107748</v>
      </c>
      <c r="O85" s="521">
        <f>-Alternatívy!$C$314</f>
        <v>-107748</v>
      </c>
      <c r="P85" s="521">
        <f>-Alternatívy!$C$314</f>
        <v>-107748</v>
      </c>
      <c r="Q85" s="521">
        <f>-Alternatívy!$C$314</f>
        <v>-107748</v>
      </c>
      <c r="R85" s="522">
        <f>-Alternatívy!$C$314</f>
        <v>-107748</v>
      </c>
    </row>
    <row r="86" spans="1:18" ht="13.5" customHeight="1" thickBot="1" x14ac:dyDescent="0.35">
      <c r="A86" s="621"/>
      <c r="B86" s="511" t="s">
        <v>57</v>
      </c>
      <c r="C86" s="512">
        <f>SUM(D86:R86)</f>
        <v>-32860212</v>
      </c>
      <c r="D86" s="513">
        <f>SUM(D82:D85)</f>
        <v>-1926888</v>
      </c>
      <c r="E86" s="513">
        <f t="shared" ref="E86:R86" si="40">SUM(E82:E85)</f>
        <v>-2034636</v>
      </c>
      <c r="F86" s="513">
        <f t="shared" si="40"/>
        <v>-2222976</v>
      </c>
      <c r="G86" s="514">
        <f t="shared" si="40"/>
        <v>-2222976</v>
      </c>
      <c r="H86" s="513">
        <f t="shared" si="40"/>
        <v>-2222976</v>
      </c>
      <c r="I86" s="513">
        <f t="shared" si="40"/>
        <v>-2222976</v>
      </c>
      <c r="J86" s="513">
        <f t="shared" si="40"/>
        <v>-2222976</v>
      </c>
      <c r="K86" s="513">
        <f t="shared" si="40"/>
        <v>-2222976</v>
      </c>
      <c r="L86" s="513">
        <f t="shared" si="40"/>
        <v>-2222976</v>
      </c>
      <c r="M86" s="513">
        <f t="shared" si="40"/>
        <v>-2222976</v>
      </c>
      <c r="N86" s="513">
        <f t="shared" si="40"/>
        <v>-2222976</v>
      </c>
      <c r="O86" s="513">
        <f t="shared" si="40"/>
        <v>-2222976</v>
      </c>
      <c r="P86" s="513">
        <f t="shared" si="40"/>
        <v>-2222976</v>
      </c>
      <c r="Q86" s="513">
        <f t="shared" si="40"/>
        <v>-2222976</v>
      </c>
      <c r="R86" s="515">
        <f t="shared" si="40"/>
        <v>-2222976</v>
      </c>
    </row>
    <row r="87" spans="1:18" ht="13.5" customHeight="1" x14ac:dyDescent="0.3">
      <c r="A87" s="621"/>
      <c r="B87" s="421"/>
      <c r="C87" s="421"/>
      <c r="D87" s="421"/>
      <c r="E87" s="421"/>
      <c r="F87" s="421"/>
      <c r="G87" s="421"/>
      <c r="H87" s="421"/>
      <c r="I87" s="421"/>
      <c r="J87" s="421"/>
      <c r="K87" s="421"/>
      <c r="L87" s="421"/>
      <c r="M87" s="421"/>
      <c r="N87" s="421"/>
      <c r="O87" s="421"/>
      <c r="P87" s="421"/>
      <c r="Q87" s="421"/>
      <c r="R87" s="462"/>
    </row>
    <row r="88" spans="1:18" ht="13.5" customHeight="1" thickBot="1" x14ac:dyDescent="0.35">
      <c r="A88" s="621"/>
      <c r="B88" s="520" t="s">
        <v>284</v>
      </c>
      <c r="C88" s="521">
        <f>SUM(D88:R88)</f>
        <v>249999.99999999994</v>
      </c>
      <c r="D88" s="521">
        <f>'Fit out contribution'!$D$8</f>
        <v>16666.666666666668</v>
      </c>
      <c r="E88" s="521">
        <f>'Fit out contribution'!$D$8</f>
        <v>16666.666666666668</v>
      </c>
      <c r="F88" s="521">
        <f>'Fit out contribution'!$D$8</f>
        <v>16666.666666666668</v>
      </c>
      <c r="G88" s="521">
        <f>'Fit out contribution'!$D$8</f>
        <v>16666.666666666668</v>
      </c>
      <c r="H88" s="521">
        <f>'Fit out contribution'!$D$8</f>
        <v>16666.666666666668</v>
      </c>
      <c r="I88" s="521">
        <f>'Fit out contribution'!$D$8</f>
        <v>16666.666666666668</v>
      </c>
      <c r="J88" s="521">
        <f>'Fit out contribution'!$D$8</f>
        <v>16666.666666666668</v>
      </c>
      <c r="K88" s="521">
        <f>'Fit out contribution'!$D$8</f>
        <v>16666.666666666668</v>
      </c>
      <c r="L88" s="521">
        <f>'Fit out contribution'!$D$8</f>
        <v>16666.666666666668</v>
      </c>
      <c r="M88" s="521">
        <f>'Fit out contribution'!$D$8</f>
        <v>16666.666666666668</v>
      </c>
      <c r="N88" s="521">
        <f>'Fit out contribution'!$D$8</f>
        <v>16666.666666666668</v>
      </c>
      <c r="O88" s="521">
        <f>'Fit out contribution'!$D$8</f>
        <v>16666.666666666668</v>
      </c>
      <c r="P88" s="521">
        <f>'Fit out contribution'!$D$8</f>
        <v>16666.666666666668</v>
      </c>
      <c r="Q88" s="521">
        <f>'Fit out contribution'!$D$8</f>
        <v>16666.666666666668</v>
      </c>
      <c r="R88" s="522">
        <f>'Fit out contribution'!$D$8</f>
        <v>16666.666666666668</v>
      </c>
    </row>
    <row r="89" spans="1:18" ht="13.5" customHeight="1" thickBot="1" x14ac:dyDescent="0.35">
      <c r="A89" s="621"/>
      <c r="B89" s="511" t="s">
        <v>285</v>
      </c>
      <c r="C89" s="512">
        <f>SUM(C86,C88)</f>
        <v>-32610212</v>
      </c>
      <c r="D89" s="512">
        <f t="shared" ref="D89:R89" si="41">SUM(D86,D88)</f>
        <v>-1910221.3333333333</v>
      </c>
      <c r="E89" s="512">
        <f t="shared" si="41"/>
        <v>-2017969.3333333333</v>
      </c>
      <c r="F89" s="512">
        <f t="shared" si="41"/>
        <v>-2206309.3333333335</v>
      </c>
      <c r="G89" s="512">
        <f t="shared" si="41"/>
        <v>-2206309.3333333335</v>
      </c>
      <c r="H89" s="512">
        <f t="shared" si="41"/>
        <v>-2206309.3333333335</v>
      </c>
      <c r="I89" s="512">
        <f t="shared" si="41"/>
        <v>-2206309.3333333335</v>
      </c>
      <c r="J89" s="512">
        <f t="shared" si="41"/>
        <v>-2206309.3333333335</v>
      </c>
      <c r="K89" s="512">
        <f t="shared" si="41"/>
        <v>-2206309.3333333335</v>
      </c>
      <c r="L89" s="512">
        <f t="shared" si="41"/>
        <v>-2206309.3333333335</v>
      </c>
      <c r="M89" s="512">
        <f t="shared" si="41"/>
        <v>-2206309.3333333335</v>
      </c>
      <c r="N89" s="512">
        <f t="shared" si="41"/>
        <v>-2206309.3333333335</v>
      </c>
      <c r="O89" s="512">
        <f t="shared" si="41"/>
        <v>-2206309.3333333335</v>
      </c>
      <c r="P89" s="512">
        <f t="shared" si="41"/>
        <v>-2206309.3333333335</v>
      </c>
      <c r="Q89" s="512">
        <f t="shared" si="41"/>
        <v>-2206309.3333333335</v>
      </c>
      <c r="R89" s="512">
        <f t="shared" si="41"/>
        <v>-2206309.3333333335</v>
      </c>
    </row>
    <row r="90" spans="1:18" ht="13.5" customHeight="1" x14ac:dyDescent="0.3">
      <c r="A90" s="621"/>
      <c r="B90" s="44"/>
      <c r="C90" s="44"/>
      <c r="D90" s="45">
        <v>1</v>
      </c>
      <c r="E90" s="45">
        <v>2</v>
      </c>
      <c r="F90" s="45">
        <v>3</v>
      </c>
      <c r="G90" s="45">
        <v>4</v>
      </c>
      <c r="H90" s="45">
        <v>5</v>
      </c>
      <c r="I90" s="45">
        <v>6</v>
      </c>
      <c r="J90" s="45">
        <v>7</v>
      </c>
      <c r="K90" s="45">
        <v>8</v>
      </c>
      <c r="L90" s="45">
        <v>9</v>
      </c>
      <c r="M90" s="45">
        <v>10</v>
      </c>
      <c r="N90" s="45">
        <v>11</v>
      </c>
      <c r="O90" s="45">
        <v>12</v>
      </c>
      <c r="P90" s="45">
        <v>13</v>
      </c>
      <c r="Q90" s="45">
        <v>14</v>
      </c>
      <c r="R90" s="46">
        <v>15</v>
      </c>
    </row>
    <row r="91" spans="1:18" ht="16.2" thickBot="1" x14ac:dyDescent="0.35">
      <c r="A91" s="621"/>
      <c r="B91" s="523" t="s">
        <v>151</v>
      </c>
      <c r="C91" s="524" t="s">
        <v>33</v>
      </c>
      <c r="D91" s="525">
        <f>D81</f>
        <v>2026</v>
      </c>
      <c r="E91" s="525">
        <f>$D$3+D90</f>
        <v>2027</v>
      </c>
      <c r="F91" s="525">
        <f>$D$3+E90</f>
        <v>2028</v>
      </c>
      <c r="G91" s="526">
        <f>$D$3+F90</f>
        <v>2029</v>
      </c>
      <c r="H91" s="525">
        <f>$D$3+G90</f>
        <v>2030</v>
      </c>
      <c r="I91" s="525">
        <f>$D$3+H90</f>
        <v>2031</v>
      </c>
      <c r="J91" s="525">
        <f>$D$3+I90</f>
        <v>2032</v>
      </c>
      <c r="K91" s="525">
        <f>$D$3+J90</f>
        <v>2033</v>
      </c>
      <c r="L91" s="525">
        <f>$D$3+K90</f>
        <v>2034</v>
      </c>
      <c r="M91" s="525">
        <f>$D$3+L90</f>
        <v>2035</v>
      </c>
      <c r="N91" s="525">
        <f>$D$3+M90</f>
        <v>2036</v>
      </c>
      <c r="O91" s="525">
        <f>$D$3+N90</f>
        <v>2037</v>
      </c>
      <c r="P91" s="525">
        <f>$D$3+O90</f>
        <v>2038</v>
      </c>
      <c r="Q91" s="525">
        <f>$D$3+P90</f>
        <v>2039</v>
      </c>
      <c r="R91" s="527">
        <f>$D$3+Q90</f>
        <v>2040</v>
      </c>
    </row>
    <row r="92" spans="1:18" ht="12.75" customHeight="1" x14ac:dyDescent="0.3">
      <c r="A92" s="620"/>
      <c r="B92" s="532" t="s">
        <v>9</v>
      </c>
      <c r="C92" s="533">
        <f t="shared" ref="C92:C97" si="42">SUM(D92:R92)</f>
        <v>-26956800</v>
      </c>
      <c r="D92" s="533">
        <f>-Alternatívy!$E$345</f>
        <v>-1491359.9999999998</v>
      </c>
      <c r="E92" s="533">
        <f>-Alternatívy!$F$345</f>
        <v>-1616160</v>
      </c>
      <c r="F92" s="533">
        <f>-Alternatívy!$G$345</f>
        <v>-1834560</v>
      </c>
      <c r="G92" s="533">
        <f t="shared" ref="G92:R92" si="43">F92</f>
        <v>-1834560</v>
      </c>
      <c r="H92" s="533">
        <f t="shared" si="43"/>
        <v>-1834560</v>
      </c>
      <c r="I92" s="533">
        <f t="shared" si="43"/>
        <v>-1834560</v>
      </c>
      <c r="J92" s="533">
        <f t="shared" si="43"/>
        <v>-1834560</v>
      </c>
      <c r="K92" s="533">
        <f t="shared" si="43"/>
        <v>-1834560</v>
      </c>
      <c r="L92" s="533">
        <f t="shared" si="43"/>
        <v>-1834560</v>
      </c>
      <c r="M92" s="533">
        <f t="shared" si="43"/>
        <v>-1834560</v>
      </c>
      <c r="N92" s="533">
        <f t="shared" si="43"/>
        <v>-1834560</v>
      </c>
      <c r="O92" s="533">
        <f t="shared" si="43"/>
        <v>-1834560</v>
      </c>
      <c r="P92" s="533">
        <f t="shared" si="43"/>
        <v>-1834560</v>
      </c>
      <c r="Q92" s="533">
        <f t="shared" si="43"/>
        <v>-1834560</v>
      </c>
      <c r="R92" s="534">
        <f t="shared" si="43"/>
        <v>-1834560</v>
      </c>
    </row>
    <row r="93" spans="1:18" ht="12.75" customHeight="1" x14ac:dyDescent="0.3">
      <c r="A93" s="620"/>
      <c r="B93" s="535" t="s">
        <v>54</v>
      </c>
      <c r="C93" s="373">
        <f t="shared" si="42"/>
        <v>-1854000</v>
      </c>
      <c r="D93" s="373">
        <f>-Alternatívy!$C$368</f>
        <v>-123600</v>
      </c>
      <c r="E93" s="373">
        <f>-Alternatívy!$C$368</f>
        <v>-123600</v>
      </c>
      <c r="F93" s="373">
        <f>-Alternatívy!$C$368</f>
        <v>-123600</v>
      </c>
      <c r="G93" s="373">
        <f>-Alternatívy!$C$368</f>
        <v>-123600</v>
      </c>
      <c r="H93" s="373">
        <f>-Alternatívy!$C$368</f>
        <v>-123600</v>
      </c>
      <c r="I93" s="373">
        <f>-Alternatívy!$C$368</f>
        <v>-123600</v>
      </c>
      <c r="J93" s="373">
        <f>-Alternatívy!$C$368</f>
        <v>-123600</v>
      </c>
      <c r="K93" s="373">
        <f>-Alternatívy!$C$368</f>
        <v>-123600</v>
      </c>
      <c r="L93" s="373">
        <f>-Alternatívy!$C$368</f>
        <v>-123600</v>
      </c>
      <c r="M93" s="373">
        <f>-Alternatívy!$C$368</f>
        <v>-123600</v>
      </c>
      <c r="N93" s="373">
        <f>-Alternatívy!$C$368</f>
        <v>-123600</v>
      </c>
      <c r="O93" s="373">
        <f>-Alternatívy!$C$368</f>
        <v>-123600</v>
      </c>
      <c r="P93" s="373">
        <f>-Alternatívy!$C$368</f>
        <v>-123600</v>
      </c>
      <c r="Q93" s="373">
        <f>-Alternatívy!$C$368</f>
        <v>-123600</v>
      </c>
      <c r="R93" s="382">
        <f>-Alternatívy!$C$368</f>
        <v>-123600</v>
      </c>
    </row>
    <row r="94" spans="1:18" ht="12.75" customHeight="1" x14ac:dyDescent="0.3">
      <c r="A94" s="620"/>
      <c r="B94" s="535" t="s">
        <v>55</v>
      </c>
      <c r="C94" s="373">
        <f t="shared" si="42"/>
        <v>-7059600</v>
      </c>
      <c r="D94" s="373">
        <f>-Alternatívy!$C$354</f>
        <v>-470640</v>
      </c>
      <c r="E94" s="373">
        <f>-Alternatívy!$C$354</f>
        <v>-470640</v>
      </c>
      <c r="F94" s="373">
        <f>-Alternatívy!$C$354</f>
        <v>-470640</v>
      </c>
      <c r="G94" s="373">
        <f>-Alternatívy!$C$354</f>
        <v>-470640</v>
      </c>
      <c r="H94" s="373">
        <f>-Alternatívy!$C$354</f>
        <v>-470640</v>
      </c>
      <c r="I94" s="373">
        <f>-Alternatívy!$C$354</f>
        <v>-470640</v>
      </c>
      <c r="J94" s="373">
        <f>-Alternatívy!$C$354</f>
        <v>-470640</v>
      </c>
      <c r="K94" s="373">
        <f>-Alternatívy!$C$354</f>
        <v>-470640</v>
      </c>
      <c r="L94" s="373">
        <f>-Alternatívy!$C$354</f>
        <v>-470640</v>
      </c>
      <c r="M94" s="373">
        <f>-Alternatívy!$C$354</f>
        <v>-470640</v>
      </c>
      <c r="N94" s="373">
        <f>-Alternatívy!$C$354</f>
        <v>-470640</v>
      </c>
      <c r="O94" s="373">
        <f>-Alternatívy!$C$354</f>
        <v>-470640</v>
      </c>
      <c r="P94" s="373">
        <f>-Alternatívy!$C$354</f>
        <v>-470640</v>
      </c>
      <c r="Q94" s="373">
        <f>-Alternatívy!$C$354</f>
        <v>-470640</v>
      </c>
      <c r="R94" s="382">
        <f>-Alternatívy!$C$354</f>
        <v>-470640</v>
      </c>
    </row>
    <row r="95" spans="1:18" ht="12.75" customHeight="1" x14ac:dyDescent="0.3">
      <c r="A95" s="620"/>
      <c r="B95" s="535" t="s">
        <v>56</v>
      </c>
      <c r="C95" s="373">
        <f t="shared" si="42"/>
        <v>-1908000</v>
      </c>
      <c r="D95" s="373">
        <f>-Alternatívy!$C$352</f>
        <v>-127200</v>
      </c>
      <c r="E95" s="373">
        <f>-Alternatívy!$C$352</f>
        <v>-127200</v>
      </c>
      <c r="F95" s="373">
        <f>-Alternatívy!$C$352</f>
        <v>-127200</v>
      </c>
      <c r="G95" s="373">
        <f>-Alternatívy!$C$352</f>
        <v>-127200</v>
      </c>
      <c r="H95" s="373">
        <f>-Alternatívy!$C$352</f>
        <v>-127200</v>
      </c>
      <c r="I95" s="373">
        <f>-Alternatívy!$C$352</f>
        <v>-127200</v>
      </c>
      <c r="J95" s="373">
        <f>-Alternatívy!$C$352</f>
        <v>-127200</v>
      </c>
      <c r="K95" s="373">
        <f>-Alternatívy!$C$352</f>
        <v>-127200</v>
      </c>
      <c r="L95" s="373">
        <f>-Alternatívy!$C$352</f>
        <v>-127200</v>
      </c>
      <c r="M95" s="373">
        <f>-Alternatívy!$C$352</f>
        <v>-127200</v>
      </c>
      <c r="N95" s="373">
        <f>-Alternatívy!$C$352</f>
        <v>-127200</v>
      </c>
      <c r="O95" s="373">
        <f>-Alternatívy!$C$352</f>
        <v>-127200</v>
      </c>
      <c r="P95" s="373">
        <f>-Alternatívy!$C$352</f>
        <v>-127200</v>
      </c>
      <c r="Q95" s="373">
        <f>-Alternatívy!$C$352</f>
        <v>-127200</v>
      </c>
      <c r="R95" s="382">
        <f>-Alternatívy!$C$352</f>
        <v>-127200</v>
      </c>
    </row>
    <row r="96" spans="1:18" ht="13.5" customHeight="1" thickBot="1" x14ac:dyDescent="0.35">
      <c r="A96" s="620"/>
      <c r="B96" s="536" t="s">
        <v>213</v>
      </c>
      <c r="C96" s="537">
        <f t="shared" si="42"/>
        <v>-37778400</v>
      </c>
      <c r="D96" s="537">
        <f>SUM(D92:D95)</f>
        <v>-2212800</v>
      </c>
      <c r="E96" s="537">
        <f t="shared" ref="E96:R96" si="44">SUM(E92:E95)</f>
        <v>-2337600</v>
      </c>
      <c r="F96" s="537">
        <f t="shared" si="44"/>
        <v>-2556000</v>
      </c>
      <c r="G96" s="537">
        <f t="shared" si="44"/>
        <v>-2556000</v>
      </c>
      <c r="H96" s="537">
        <f t="shared" si="44"/>
        <v>-2556000</v>
      </c>
      <c r="I96" s="537">
        <f t="shared" si="44"/>
        <v>-2556000</v>
      </c>
      <c r="J96" s="537">
        <f t="shared" si="44"/>
        <v>-2556000</v>
      </c>
      <c r="K96" s="537">
        <f t="shared" si="44"/>
        <v>-2556000</v>
      </c>
      <c r="L96" s="537">
        <f t="shared" si="44"/>
        <v>-2556000</v>
      </c>
      <c r="M96" s="537">
        <f t="shared" si="44"/>
        <v>-2556000</v>
      </c>
      <c r="N96" s="537">
        <f t="shared" si="44"/>
        <v>-2556000</v>
      </c>
      <c r="O96" s="537">
        <f t="shared" si="44"/>
        <v>-2556000</v>
      </c>
      <c r="P96" s="537">
        <f t="shared" si="44"/>
        <v>-2556000</v>
      </c>
      <c r="Q96" s="537">
        <f t="shared" si="44"/>
        <v>-2556000</v>
      </c>
      <c r="R96" s="538">
        <f t="shared" si="44"/>
        <v>-2556000</v>
      </c>
    </row>
    <row r="97" spans="1:18" ht="14.4" thickBot="1" x14ac:dyDescent="0.35">
      <c r="A97" s="621"/>
      <c r="B97" s="528" t="s">
        <v>212</v>
      </c>
      <c r="C97" s="529">
        <f t="shared" si="42"/>
        <v>-46467432</v>
      </c>
      <c r="D97" s="530">
        <f t="shared" ref="D97:R97" si="45">D96*1.23</f>
        <v>-2721744</v>
      </c>
      <c r="E97" s="530">
        <f t="shared" si="45"/>
        <v>-2875248</v>
      </c>
      <c r="F97" s="530">
        <f t="shared" si="45"/>
        <v>-3143880</v>
      </c>
      <c r="G97" s="528">
        <f t="shared" si="45"/>
        <v>-3143880</v>
      </c>
      <c r="H97" s="530">
        <f t="shared" si="45"/>
        <v>-3143880</v>
      </c>
      <c r="I97" s="530">
        <f t="shared" si="45"/>
        <v>-3143880</v>
      </c>
      <c r="J97" s="530">
        <f t="shared" si="45"/>
        <v>-3143880</v>
      </c>
      <c r="K97" s="530">
        <f t="shared" si="45"/>
        <v>-3143880</v>
      </c>
      <c r="L97" s="530">
        <f t="shared" si="45"/>
        <v>-3143880</v>
      </c>
      <c r="M97" s="530">
        <f t="shared" si="45"/>
        <v>-3143880</v>
      </c>
      <c r="N97" s="530">
        <f t="shared" si="45"/>
        <v>-3143880</v>
      </c>
      <c r="O97" s="530">
        <f t="shared" si="45"/>
        <v>-3143880</v>
      </c>
      <c r="P97" s="530">
        <f t="shared" si="45"/>
        <v>-3143880</v>
      </c>
      <c r="Q97" s="530">
        <f t="shared" si="45"/>
        <v>-3143880</v>
      </c>
      <c r="R97" s="531">
        <f t="shared" si="45"/>
        <v>-3143880</v>
      </c>
    </row>
    <row r="98" spans="1:18" ht="14.4" thickTop="1" x14ac:dyDescent="0.3">
      <c r="A98" s="621"/>
      <c r="C98" s="464"/>
    </row>
    <row r="99" spans="1:18" ht="14.4" thickBot="1" x14ac:dyDescent="0.35">
      <c r="A99" s="621"/>
      <c r="B99" s="536" t="s">
        <v>284</v>
      </c>
      <c r="C99" s="537">
        <f>SUM(D99:R99)</f>
        <v>246000</v>
      </c>
      <c r="D99" s="537">
        <f>'Fit out contribution'!$E$8</f>
        <v>16400</v>
      </c>
      <c r="E99" s="537">
        <f>'Fit out contribution'!$E$8</f>
        <v>16400</v>
      </c>
      <c r="F99" s="537">
        <f>'Fit out contribution'!$E$8</f>
        <v>16400</v>
      </c>
      <c r="G99" s="537">
        <f>'Fit out contribution'!$E$8</f>
        <v>16400</v>
      </c>
      <c r="H99" s="537">
        <f>'Fit out contribution'!$E$8</f>
        <v>16400</v>
      </c>
      <c r="I99" s="537">
        <f>'Fit out contribution'!$E$8</f>
        <v>16400</v>
      </c>
      <c r="J99" s="537">
        <f>'Fit out contribution'!$E$8</f>
        <v>16400</v>
      </c>
      <c r="K99" s="537">
        <f>'Fit out contribution'!$E$8</f>
        <v>16400</v>
      </c>
      <c r="L99" s="537">
        <f>'Fit out contribution'!$E$8</f>
        <v>16400</v>
      </c>
      <c r="M99" s="537">
        <f>'Fit out contribution'!$E$8</f>
        <v>16400</v>
      </c>
      <c r="N99" s="537">
        <f>'Fit out contribution'!$E$8</f>
        <v>16400</v>
      </c>
      <c r="O99" s="537">
        <f>'Fit out contribution'!$E$8</f>
        <v>16400</v>
      </c>
      <c r="P99" s="537">
        <f>'Fit out contribution'!$E$8</f>
        <v>16400</v>
      </c>
      <c r="Q99" s="537">
        <f>'Fit out contribution'!$E$8</f>
        <v>16400</v>
      </c>
      <c r="R99" s="538">
        <f>'Fit out contribution'!$E$8</f>
        <v>16400</v>
      </c>
    </row>
    <row r="100" spans="1:18" ht="14.4" thickBot="1" x14ac:dyDescent="0.35">
      <c r="A100" s="621"/>
      <c r="B100" s="528" t="s">
        <v>286</v>
      </c>
      <c r="C100" s="529">
        <f>SUM(C99,C97)</f>
        <v>-46221432</v>
      </c>
      <c r="D100" s="529">
        <f t="shared" ref="D100:R100" si="46">SUM(D99,D97)</f>
        <v>-2705344</v>
      </c>
      <c r="E100" s="529">
        <f t="shared" si="46"/>
        <v>-2858848</v>
      </c>
      <c r="F100" s="529">
        <f t="shared" si="46"/>
        <v>-3127480</v>
      </c>
      <c r="G100" s="529">
        <f t="shared" si="46"/>
        <v>-3127480</v>
      </c>
      <c r="H100" s="529">
        <f t="shared" si="46"/>
        <v>-3127480</v>
      </c>
      <c r="I100" s="529">
        <f t="shared" si="46"/>
        <v>-3127480</v>
      </c>
      <c r="J100" s="529">
        <f t="shared" si="46"/>
        <v>-3127480</v>
      </c>
      <c r="K100" s="529">
        <f t="shared" si="46"/>
        <v>-3127480</v>
      </c>
      <c r="L100" s="529">
        <f t="shared" si="46"/>
        <v>-3127480</v>
      </c>
      <c r="M100" s="529">
        <f t="shared" si="46"/>
        <v>-3127480</v>
      </c>
      <c r="N100" s="529">
        <f t="shared" si="46"/>
        <v>-3127480</v>
      </c>
      <c r="O100" s="529">
        <f t="shared" si="46"/>
        <v>-3127480</v>
      </c>
      <c r="P100" s="529">
        <f t="shared" si="46"/>
        <v>-3127480</v>
      </c>
      <c r="Q100" s="529">
        <f t="shared" si="46"/>
        <v>-3127480</v>
      </c>
      <c r="R100" s="529">
        <f t="shared" si="46"/>
        <v>-3127480</v>
      </c>
    </row>
    <row r="101" spans="1:18" ht="14.4" thickTop="1" x14ac:dyDescent="0.3">
      <c r="A101" s="621"/>
      <c r="C101" s="464"/>
      <c r="D101" s="464"/>
      <c r="E101" s="464"/>
      <c r="F101" s="196"/>
    </row>
    <row r="102" spans="1:18" x14ac:dyDescent="0.3">
      <c r="A102" s="621"/>
      <c r="B102" s="535" t="s">
        <v>257</v>
      </c>
      <c r="C102" s="373">
        <f>SUM(D102:R102)</f>
        <v>2200000.0000000051</v>
      </c>
      <c r="D102" s="373">
        <v>146666.66666666701</v>
      </c>
      <c r="E102" s="373">
        <v>146666.66666666701</v>
      </c>
      <c r="F102" s="373">
        <v>146666.66666666701</v>
      </c>
      <c r="G102" s="373">
        <v>146666.66666666701</v>
      </c>
      <c r="H102" s="373">
        <v>146666.66666666701</v>
      </c>
      <c r="I102" s="373">
        <v>146666.66666666701</v>
      </c>
      <c r="J102" s="373">
        <v>146666.66666666701</v>
      </c>
      <c r="K102" s="373">
        <v>146666.66666666701</v>
      </c>
      <c r="L102" s="373">
        <v>146666.66666666701</v>
      </c>
      <c r="M102" s="373">
        <v>146666.66666666701</v>
      </c>
      <c r="N102" s="373">
        <v>146666.66666666701</v>
      </c>
      <c r="O102" s="373">
        <v>146666.66666666701</v>
      </c>
      <c r="P102" s="373">
        <v>146666.66666666701</v>
      </c>
      <c r="Q102" s="373">
        <v>146666.66666666701</v>
      </c>
      <c r="R102" s="382">
        <v>146666.66666666701</v>
      </c>
    </row>
    <row r="103" spans="1:18" x14ac:dyDescent="0.3">
      <c r="A103" s="621"/>
      <c r="B103" s="535" t="s">
        <v>258</v>
      </c>
      <c r="C103" s="373">
        <f>SUM(D103:R103)</f>
        <v>2400000</v>
      </c>
      <c r="D103" s="373">
        <v>160000</v>
      </c>
      <c r="E103" s="373">
        <v>160000</v>
      </c>
      <c r="F103" s="373">
        <v>160000</v>
      </c>
      <c r="G103" s="373">
        <v>160000</v>
      </c>
      <c r="H103" s="373">
        <v>160000</v>
      </c>
      <c r="I103" s="373">
        <v>160000</v>
      </c>
      <c r="J103" s="373">
        <v>160000</v>
      </c>
      <c r="K103" s="373">
        <v>160000</v>
      </c>
      <c r="L103" s="373">
        <v>160000</v>
      </c>
      <c r="M103" s="373">
        <v>160000</v>
      </c>
      <c r="N103" s="373">
        <v>160000</v>
      </c>
      <c r="O103" s="373">
        <v>160000</v>
      </c>
      <c r="P103" s="373">
        <v>160000</v>
      </c>
      <c r="Q103" s="373">
        <v>160000</v>
      </c>
      <c r="R103" s="382">
        <v>160000</v>
      </c>
    </row>
    <row r="104" spans="1:18" ht="14.4" thickBot="1" x14ac:dyDescent="0.35">
      <c r="A104" s="621"/>
      <c r="B104" s="528" t="s">
        <v>300</v>
      </c>
      <c r="C104" s="529">
        <f>SUM(C102:C103,C100)</f>
        <v>-41621431.999999993</v>
      </c>
      <c r="D104" s="530">
        <f t="shared" ref="D104:R104" si="47">SUM(D102:D103,D100)</f>
        <v>-2398677.333333333</v>
      </c>
      <c r="E104" s="530">
        <f t="shared" si="47"/>
        <v>-2552181.333333333</v>
      </c>
      <c r="F104" s="530">
        <f t="shared" si="47"/>
        <v>-2820813.333333333</v>
      </c>
      <c r="G104" s="528">
        <f t="shared" si="47"/>
        <v>-2820813.333333333</v>
      </c>
      <c r="H104" s="530">
        <f t="shared" si="47"/>
        <v>-2820813.333333333</v>
      </c>
      <c r="I104" s="530">
        <f t="shared" si="47"/>
        <v>-2820813.333333333</v>
      </c>
      <c r="J104" s="530">
        <f t="shared" si="47"/>
        <v>-2820813.333333333</v>
      </c>
      <c r="K104" s="530">
        <f t="shared" si="47"/>
        <v>-2820813.333333333</v>
      </c>
      <c r="L104" s="530">
        <f t="shared" si="47"/>
        <v>-2820813.333333333</v>
      </c>
      <c r="M104" s="530">
        <f t="shared" si="47"/>
        <v>-2820813.333333333</v>
      </c>
      <c r="N104" s="530">
        <f t="shared" si="47"/>
        <v>-2820813.333333333</v>
      </c>
      <c r="O104" s="530">
        <f t="shared" si="47"/>
        <v>-2820813.333333333</v>
      </c>
      <c r="P104" s="530">
        <f t="shared" si="47"/>
        <v>-2820813.333333333</v>
      </c>
      <c r="Q104" s="530">
        <f t="shared" si="47"/>
        <v>-2820813.333333333</v>
      </c>
      <c r="R104" s="531">
        <f t="shared" si="47"/>
        <v>-2820813.333333333</v>
      </c>
    </row>
    <row r="105" spans="1:18" ht="14.4" thickTop="1" x14ac:dyDescent="0.3">
      <c r="A105" s="621"/>
      <c r="C105" s="464"/>
      <c r="D105" s="464"/>
      <c r="E105" s="464"/>
      <c r="F105" s="196"/>
    </row>
    <row r="106" spans="1:18" ht="14.4" thickBot="1" x14ac:dyDescent="0.35">
      <c r="A106" s="621"/>
      <c r="C106" s="464"/>
      <c r="D106" s="464"/>
      <c r="E106" s="464"/>
      <c r="F106" s="196"/>
    </row>
    <row r="107" spans="1:18" x14ac:dyDescent="0.3">
      <c r="A107" s="621"/>
      <c r="B107" s="217"/>
      <c r="C107" s="217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8"/>
    </row>
    <row r="108" spans="1:18" ht="14.4" thickBot="1" x14ac:dyDescent="0.35">
      <c r="A108" s="621"/>
      <c r="B108" s="375"/>
      <c r="C108" s="375"/>
      <c r="D108" s="376">
        <v>1</v>
      </c>
      <c r="E108" s="376">
        <v>2</v>
      </c>
      <c r="F108" s="376">
        <v>3</v>
      </c>
      <c r="G108" s="376">
        <v>4</v>
      </c>
      <c r="H108" s="376">
        <v>5</v>
      </c>
      <c r="I108" s="376">
        <v>6</v>
      </c>
      <c r="J108" s="376">
        <v>7</v>
      </c>
      <c r="K108" s="376">
        <v>8</v>
      </c>
      <c r="L108" s="376">
        <v>9</v>
      </c>
      <c r="M108" s="376">
        <v>10</v>
      </c>
      <c r="N108" s="376">
        <v>11</v>
      </c>
      <c r="O108" s="376">
        <v>12</v>
      </c>
      <c r="P108" s="376">
        <v>13</v>
      </c>
      <c r="Q108" s="376">
        <v>14</v>
      </c>
      <c r="R108" s="377">
        <v>15</v>
      </c>
    </row>
    <row r="109" spans="1:18" ht="15.6" x14ac:dyDescent="0.3">
      <c r="A109" s="620"/>
      <c r="B109" s="546" t="s">
        <v>202</v>
      </c>
      <c r="C109" s="549" t="s">
        <v>33</v>
      </c>
      <c r="D109" s="547">
        <f>D3</f>
        <v>2026</v>
      </c>
      <c r="E109" s="547">
        <f t="shared" ref="E109:R109" si="48">$D$3+D108</f>
        <v>2027</v>
      </c>
      <c r="F109" s="547">
        <f t="shared" si="48"/>
        <v>2028</v>
      </c>
      <c r="G109" s="547">
        <f t="shared" si="48"/>
        <v>2029</v>
      </c>
      <c r="H109" s="547">
        <f t="shared" si="48"/>
        <v>2030</v>
      </c>
      <c r="I109" s="547">
        <f t="shared" si="48"/>
        <v>2031</v>
      </c>
      <c r="J109" s="547">
        <f t="shared" si="48"/>
        <v>2032</v>
      </c>
      <c r="K109" s="547">
        <f t="shared" si="48"/>
        <v>2033</v>
      </c>
      <c r="L109" s="547">
        <f t="shared" si="48"/>
        <v>2034</v>
      </c>
      <c r="M109" s="547">
        <f t="shared" si="48"/>
        <v>2035</v>
      </c>
      <c r="N109" s="547">
        <f t="shared" si="48"/>
        <v>2036</v>
      </c>
      <c r="O109" s="547">
        <f t="shared" si="48"/>
        <v>2037</v>
      </c>
      <c r="P109" s="547">
        <f t="shared" si="48"/>
        <v>2038</v>
      </c>
      <c r="Q109" s="547">
        <f t="shared" si="48"/>
        <v>2039</v>
      </c>
      <c r="R109" s="548">
        <f t="shared" si="48"/>
        <v>2040</v>
      </c>
    </row>
    <row r="110" spans="1:18" x14ac:dyDescent="0.3">
      <c r="A110" s="620"/>
      <c r="B110" s="550" t="s">
        <v>124</v>
      </c>
      <c r="C110" s="430">
        <f>SUM(D110:R110)</f>
        <v>-2249310.5950795203</v>
      </c>
      <c r="D110" s="430">
        <f>-Alternatívy!$C$388-Alternatívy!$C$387-Alternatívy!$C$383</f>
        <v>-149954.039671968</v>
      </c>
      <c r="E110" s="430">
        <f t="shared" ref="E110:R111" si="49">D110</f>
        <v>-149954.039671968</v>
      </c>
      <c r="F110" s="430">
        <f t="shared" si="49"/>
        <v>-149954.039671968</v>
      </c>
      <c r="G110" s="430">
        <f t="shared" si="49"/>
        <v>-149954.039671968</v>
      </c>
      <c r="H110" s="430">
        <f t="shared" si="49"/>
        <v>-149954.039671968</v>
      </c>
      <c r="I110" s="430">
        <f t="shared" si="49"/>
        <v>-149954.039671968</v>
      </c>
      <c r="J110" s="430">
        <f t="shared" si="49"/>
        <v>-149954.039671968</v>
      </c>
      <c r="K110" s="430">
        <f t="shared" si="49"/>
        <v>-149954.039671968</v>
      </c>
      <c r="L110" s="430">
        <f t="shared" si="49"/>
        <v>-149954.039671968</v>
      </c>
      <c r="M110" s="430">
        <f t="shared" si="49"/>
        <v>-149954.039671968</v>
      </c>
      <c r="N110" s="430">
        <f t="shared" si="49"/>
        <v>-149954.039671968</v>
      </c>
      <c r="O110" s="430">
        <f t="shared" si="49"/>
        <v>-149954.039671968</v>
      </c>
      <c r="P110" s="430">
        <f t="shared" si="49"/>
        <v>-149954.039671968</v>
      </c>
      <c r="Q110" s="430">
        <f t="shared" si="49"/>
        <v>-149954.039671968</v>
      </c>
      <c r="R110" s="431">
        <f t="shared" si="49"/>
        <v>-149954.039671968</v>
      </c>
    </row>
    <row r="111" spans="1:18" ht="14.4" thickBot="1" x14ac:dyDescent="0.35">
      <c r="A111" s="620"/>
      <c r="B111" s="551" t="s">
        <v>125</v>
      </c>
      <c r="C111" s="544">
        <f>SUM(D111:R111)</f>
        <v>-3242247.6268799999</v>
      </c>
      <c r="D111" s="544">
        <f>-Alternatívy!$C$381</f>
        <v>-216149.84179199999</v>
      </c>
      <c r="E111" s="544">
        <f t="shared" si="49"/>
        <v>-216149.84179199999</v>
      </c>
      <c r="F111" s="544">
        <f t="shared" si="49"/>
        <v>-216149.84179199999</v>
      </c>
      <c r="G111" s="544">
        <f t="shared" si="49"/>
        <v>-216149.84179199999</v>
      </c>
      <c r="H111" s="544">
        <f t="shared" si="49"/>
        <v>-216149.84179199999</v>
      </c>
      <c r="I111" s="544">
        <f t="shared" si="49"/>
        <v>-216149.84179199999</v>
      </c>
      <c r="J111" s="544">
        <f t="shared" si="49"/>
        <v>-216149.84179199999</v>
      </c>
      <c r="K111" s="544">
        <f t="shared" si="49"/>
        <v>-216149.84179199999</v>
      </c>
      <c r="L111" s="544">
        <f t="shared" si="49"/>
        <v>-216149.84179199999</v>
      </c>
      <c r="M111" s="544">
        <f t="shared" si="49"/>
        <v>-216149.84179199999</v>
      </c>
      <c r="N111" s="544">
        <f t="shared" si="49"/>
        <v>-216149.84179199999</v>
      </c>
      <c r="O111" s="544">
        <f t="shared" si="49"/>
        <v>-216149.84179199999</v>
      </c>
      <c r="P111" s="544">
        <f t="shared" si="49"/>
        <v>-216149.84179199999</v>
      </c>
      <c r="Q111" s="544">
        <f t="shared" si="49"/>
        <v>-216149.84179199999</v>
      </c>
      <c r="R111" s="545">
        <f t="shared" si="49"/>
        <v>-216149.84179199999</v>
      </c>
    </row>
    <row r="112" spans="1:18" ht="14.4" thickBot="1" x14ac:dyDescent="0.35">
      <c r="A112" s="620"/>
      <c r="B112" s="555" t="s">
        <v>57</v>
      </c>
      <c r="C112" s="556">
        <f>SUM(D112:R112)</f>
        <v>-5491558.2219595211</v>
      </c>
      <c r="D112" s="556">
        <f t="shared" ref="D112:R112" si="50">SUM(D110:D111)</f>
        <v>-366103.88146396796</v>
      </c>
      <c r="E112" s="556">
        <f t="shared" si="50"/>
        <v>-366103.88146396796</v>
      </c>
      <c r="F112" s="556">
        <f t="shared" si="50"/>
        <v>-366103.88146396796</v>
      </c>
      <c r="G112" s="556">
        <f t="shared" si="50"/>
        <v>-366103.88146396796</v>
      </c>
      <c r="H112" s="556">
        <f t="shared" si="50"/>
        <v>-366103.88146396796</v>
      </c>
      <c r="I112" s="556">
        <f t="shared" si="50"/>
        <v>-366103.88146396796</v>
      </c>
      <c r="J112" s="556">
        <f t="shared" si="50"/>
        <v>-366103.88146396796</v>
      </c>
      <c r="K112" s="556">
        <f t="shared" si="50"/>
        <v>-366103.88146396796</v>
      </c>
      <c r="L112" s="556">
        <f t="shared" si="50"/>
        <v>-366103.88146396796</v>
      </c>
      <c r="M112" s="556">
        <f t="shared" si="50"/>
        <v>-366103.88146396796</v>
      </c>
      <c r="N112" s="556">
        <f t="shared" si="50"/>
        <v>-366103.88146396796</v>
      </c>
      <c r="O112" s="556">
        <f t="shared" si="50"/>
        <v>-366103.88146396796</v>
      </c>
      <c r="P112" s="556">
        <f t="shared" si="50"/>
        <v>-366103.88146396796</v>
      </c>
      <c r="Q112" s="556">
        <f t="shared" si="50"/>
        <v>-366103.88146396796</v>
      </c>
      <c r="R112" s="557">
        <f t="shared" si="50"/>
        <v>-366103.88146396796</v>
      </c>
    </row>
    <row r="113" spans="1:18" x14ac:dyDescent="0.3">
      <c r="A113" s="620"/>
      <c r="B113" s="552"/>
      <c r="C113" s="553"/>
      <c r="D113" s="553"/>
      <c r="E113" s="553"/>
      <c r="F113" s="553"/>
      <c r="G113" s="553"/>
      <c r="H113" s="553"/>
      <c r="I113" s="553"/>
      <c r="J113" s="553"/>
      <c r="K113" s="553"/>
      <c r="L113" s="553"/>
      <c r="M113" s="553"/>
      <c r="N113" s="553"/>
      <c r="O113" s="553"/>
      <c r="P113" s="553"/>
      <c r="Q113" s="553"/>
      <c r="R113" s="554"/>
    </row>
    <row r="114" spans="1:18" x14ac:dyDescent="0.3">
      <c r="A114" s="620"/>
      <c r="B114" s="504" t="s">
        <v>281</v>
      </c>
      <c r="C114" s="434">
        <f>SUM(D114:R114)</f>
        <v>-3000000</v>
      </c>
      <c r="D114" s="434">
        <f>-'Status po prestahovaní'!$E$5</f>
        <v>-200000</v>
      </c>
      <c r="E114" s="434">
        <f>-'Status po prestahovaní'!$E$5</f>
        <v>-200000</v>
      </c>
      <c r="F114" s="434">
        <f>-'Status po prestahovaní'!$E$5</f>
        <v>-200000</v>
      </c>
      <c r="G114" s="434">
        <f>-'Status po prestahovaní'!$E$5</f>
        <v>-200000</v>
      </c>
      <c r="H114" s="434">
        <f>-'Status po prestahovaní'!$E$5</f>
        <v>-200000</v>
      </c>
      <c r="I114" s="434">
        <f>-'Status po prestahovaní'!$E$5</f>
        <v>-200000</v>
      </c>
      <c r="J114" s="434">
        <f>-'Status po prestahovaní'!$E$5</f>
        <v>-200000</v>
      </c>
      <c r="K114" s="434">
        <f>-'Status po prestahovaní'!$E$5</f>
        <v>-200000</v>
      </c>
      <c r="L114" s="434">
        <f>-'Status po prestahovaní'!$E$5</f>
        <v>-200000</v>
      </c>
      <c r="M114" s="434">
        <f>-'Status po prestahovaní'!$E$5</f>
        <v>-200000</v>
      </c>
      <c r="N114" s="434">
        <f>-'Status po prestahovaní'!$E$5</f>
        <v>-200000</v>
      </c>
      <c r="O114" s="434">
        <f>-'Status po prestahovaní'!$E$5</f>
        <v>-200000</v>
      </c>
      <c r="P114" s="434">
        <f>-'Status po prestahovaní'!$E$5</f>
        <v>-200000</v>
      </c>
      <c r="Q114" s="434">
        <f>-'Status po prestahovaní'!$E$5</f>
        <v>-200000</v>
      </c>
      <c r="R114" s="435">
        <f>-'Status po prestahovaní'!$E$5</f>
        <v>-200000</v>
      </c>
    </row>
    <row r="115" spans="1:18" ht="14.4" thickBot="1" x14ac:dyDescent="0.35">
      <c r="A115" s="620"/>
      <c r="B115" s="558"/>
      <c r="C115" s="436"/>
      <c r="D115" s="436"/>
      <c r="E115" s="436"/>
      <c r="F115" s="436"/>
      <c r="G115" s="436"/>
      <c r="H115" s="436"/>
      <c r="I115" s="436"/>
      <c r="J115" s="436"/>
      <c r="K115" s="436"/>
      <c r="L115" s="436"/>
      <c r="M115" s="436"/>
      <c r="N115" s="436"/>
      <c r="O115" s="436"/>
      <c r="P115" s="436"/>
      <c r="Q115" s="436"/>
      <c r="R115" s="437"/>
    </row>
    <row r="116" spans="1:18" ht="14.4" thickBot="1" x14ac:dyDescent="0.35">
      <c r="A116" s="620"/>
      <c r="B116" s="505" t="s">
        <v>274</v>
      </c>
      <c r="C116" s="438">
        <f>SUM(C114,C112)</f>
        <v>-8491558.2219595201</v>
      </c>
      <c r="D116" s="438">
        <f t="shared" ref="D116:R116" si="51">SUM(D114,D112)</f>
        <v>-566103.88146396796</v>
      </c>
      <c r="E116" s="438">
        <f t="shared" si="51"/>
        <v>-566103.88146396796</v>
      </c>
      <c r="F116" s="438">
        <f t="shared" si="51"/>
        <v>-566103.88146396796</v>
      </c>
      <c r="G116" s="438">
        <f t="shared" si="51"/>
        <v>-566103.88146396796</v>
      </c>
      <c r="H116" s="438">
        <f t="shared" si="51"/>
        <v>-566103.88146396796</v>
      </c>
      <c r="I116" s="438">
        <f t="shared" si="51"/>
        <v>-566103.88146396796</v>
      </c>
      <c r="J116" s="438">
        <f t="shared" si="51"/>
        <v>-566103.88146396796</v>
      </c>
      <c r="K116" s="438">
        <f t="shared" si="51"/>
        <v>-566103.88146396796</v>
      </c>
      <c r="L116" s="438">
        <f t="shared" si="51"/>
        <v>-566103.88146396796</v>
      </c>
      <c r="M116" s="438">
        <f t="shared" si="51"/>
        <v>-566103.88146396796</v>
      </c>
      <c r="N116" s="438">
        <f t="shared" si="51"/>
        <v>-566103.88146396796</v>
      </c>
      <c r="O116" s="438">
        <f t="shared" si="51"/>
        <v>-566103.88146396796</v>
      </c>
      <c r="P116" s="438">
        <f t="shared" si="51"/>
        <v>-566103.88146396796</v>
      </c>
      <c r="Q116" s="438">
        <f t="shared" si="51"/>
        <v>-566103.88146396796</v>
      </c>
      <c r="R116" s="439">
        <f t="shared" si="51"/>
        <v>-566103.88146396796</v>
      </c>
    </row>
    <row r="117" spans="1:18" x14ac:dyDescent="0.3">
      <c r="A117" s="621"/>
      <c r="B117" s="421"/>
      <c r="C117" s="421"/>
      <c r="D117" s="421"/>
      <c r="E117" s="421"/>
      <c r="F117" s="421"/>
      <c r="G117" s="421"/>
      <c r="H117" s="421"/>
      <c r="I117" s="421"/>
      <c r="J117" s="421"/>
      <c r="K117" s="421"/>
      <c r="L117" s="421"/>
      <c r="M117" s="421"/>
      <c r="N117" s="421"/>
      <c r="O117" s="421"/>
      <c r="P117" s="421"/>
      <c r="Q117" s="421"/>
      <c r="R117" s="422"/>
    </row>
    <row r="118" spans="1:18" ht="14.4" thickBot="1" x14ac:dyDescent="0.35">
      <c r="A118" s="621"/>
      <c r="B118" s="504" t="s">
        <v>299</v>
      </c>
      <c r="C118" s="434">
        <f>SUM(D118:R118)</f>
        <v>2599999.9999999949</v>
      </c>
      <c r="D118" s="434">
        <v>173333.33333333299</v>
      </c>
      <c r="E118" s="434">
        <v>173333.33333333299</v>
      </c>
      <c r="F118" s="434">
        <v>173333.33333333299</v>
      </c>
      <c r="G118" s="434">
        <v>173333.33333333299</v>
      </c>
      <c r="H118" s="434">
        <v>173333.33333333299</v>
      </c>
      <c r="I118" s="434">
        <v>173333.33333333299</v>
      </c>
      <c r="J118" s="434">
        <v>173333.33333333299</v>
      </c>
      <c r="K118" s="434">
        <v>173333.33333333299</v>
      </c>
      <c r="L118" s="434">
        <v>173333.33333333299</v>
      </c>
      <c r="M118" s="434">
        <v>173333.33333333299</v>
      </c>
      <c r="N118" s="434">
        <v>173333.33333333299</v>
      </c>
      <c r="O118" s="434">
        <v>173333.33333333299</v>
      </c>
      <c r="P118" s="434">
        <v>173333.33333333299</v>
      </c>
      <c r="Q118" s="434">
        <v>173333.33333333299</v>
      </c>
      <c r="R118" s="435">
        <v>173333.33333333299</v>
      </c>
    </row>
    <row r="119" spans="1:18" ht="14.4" thickBot="1" x14ac:dyDescent="0.35">
      <c r="A119" s="621"/>
      <c r="B119" s="505" t="s">
        <v>300</v>
      </c>
      <c r="C119" s="438">
        <f>SUM(C116,C118)</f>
        <v>-5891558.2219595257</v>
      </c>
      <c r="D119" s="438">
        <f t="shared" ref="D119:R119" si="52">SUM(D116,D118)</f>
        <v>-392770.54813063494</v>
      </c>
      <c r="E119" s="438">
        <f t="shared" si="52"/>
        <v>-392770.54813063494</v>
      </c>
      <c r="F119" s="438">
        <f t="shared" si="52"/>
        <v>-392770.54813063494</v>
      </c>
      <c r="G119" s="438">
        <f t="shared" si="52"/>
        <v>-392770.54813063494</v>
      </c>
      <c r="H119" s="438">
        <f t="shared" si="52"/>
        <v>-392770.54813063494</v>
      </c>
      <c r="I119" s="438">
        <f t="shared" si="52"/>
        <v>-392770.54813063494</v>
      </c>
      <c r="J119" s="438">
        <f t="shared" si="52"/>
        <v>-392770.54813063494</v>
      </c>
      <c r="K119" s="438">
        <f t="shared" si="52"/>
        <v>-392770.54813063494</v>
      </c>
      <c r="L119" s="438">
        <f t="shared" si="52"/>
        <v>-392770.54813063494</v>
      </c>
      <c r="M119" s="438">
        <f t="shared" si="52"/>
        <v>-392770.54813063494</v>
      </c>
      <c r="N119" s="438">
        <f t="shared" si="52"/>
        <v>-392770.54813063494</v>
      </c>
      <c r="O119" s="438">
        <f t="shared" si="52"/>
        <v>-392770.54813063494</v>
      </c>
      <c r="P119" s="438">
        <f t="shared" si="52"/>
        <v>-392770.54813063494</v>
      </c>
      <c r="Q119" s="438">
        <f t="shared" si="52"/>
        <v>-392770.54813063494</v>
      </c>
      <c r="R119" s="439">
        <f t="shared" si="52"/>
        <v>-392770.54813063494</v>
      </c>
    </row>
    <row r="120" spans="1:18" x14ac:dyDescent="0.3">
      <c r="A120" s="621"/>
      <c r="B120" s="44"/>
      <c r="C120" s="44"/>
      <c r="D120" s="45">
        <v>1</v>
      </c>
      <c r="E120" s="45">
        <v>2</v>
      </c>
      <c r="F120" s="45">
        <v>3</v>
      </c>
      <c r="G120" s="45">
        <v>4</v>
      </c>
      <c r="H120" s="45">
        <v>5</v>
      </c>
      <c r="I120" s="45">
        <v>6</v>
      </c>
      <c r="J120" s="45">
        <v>7</v>
      </c>
      <c r="K120" s="45">
        <v>8</v>
      </c>
      <c r="L120" s="45">
        <v>9</v>
      </c>
      <c r="M120" s="45">
        <v>10</v>
      </c>
      <c r="N120" s="45">
        <v>11</v>
      </c>
      <c r="O120" s="45">
        <v>12</v>
      </c>
      <c r="P120" s="45">
        <v>13</v>
      </c>
      <c r="Q120" s="45">
        <v>14</v>
      </c>
      <c r="R120" s="219">
        <v>15</v>
      </c>
    </row>
    <row r="121" spans="1:18" ht="16.2" thickBot="1" x14ac:dyDescent="0.35">
      <c r="A121" s="621"/>
      <c r="B121" s="223" t="s">
        <v>203</v>
      </c>
      <c r="C121" s="469" t="s">
        <v>33</v>
      </c>
      <c r="D121" s="224">
        <f>D3</f>
        <v>2026</v>
      </c>
      <c r="E121" s="224">
        <f t="shared" ref="E121:R121" si="53">$D$3+D120</f>
        <v>2027</v>
      </c>
      <c r="F121" s="224">
        <f t="shared" si="53"/>
        <v>2028</v>
      </c>
      <c r="G121" s="224">
        <f t="shared" si="53"/>
        <v>2029</v>
      </c>
      <c r="H121" s="224">
        <f t="shared" si="53"/>
        <v>2030</v>
      </c>
      <c r="I121" s="224">
        <f t="shared" si="53"/>
        <v>2031</v>
      </c>
      <c r="J121" s="224">
        <f t="shared" si="53"/>
        <v>2032</v>
      </c>
      <c r="K121" s="224">
        <f t="shared" si="53"/>
        <v>2033</v>
      </c>
      <c r="L121" s="224">
        <f t="shared" si="53"/>
        <v>2034</v>
      </c>
      <c r="M121" s="224">
        <f t="shared" si="53"/>
        <v>2035</v>
      </c>
      <c r="N121" s="224">
        <f t="shared" si="53"/>
        <v>2036</v>
      </c>
      <c r="O121" s="224">
        <f t="shared" si="53"/>
        <v>2037</v>
      </c>
      <c r="P121" s="224">
        <f t="shared" si="53"/>
        <v>2038</v>
      </c>
      <c r="Q121" s="224">
        <f t="shared" si="53"/>
        <v>2039</v>
      </c>
      <c r="R121" s="225">
        <f t="shared" si="53"/>
        <v>2040</v>
      </c>
    </row>
    <row r="122" spans="1:18" ht="14.4" thickBot="1" x14ac:dyDescent="0.35">
      <c r="A122" s="620"/>
      <c r="B122" s="539"/>
      <c r="C122" s="540">
        <f t="shared" ref="C122:C123" si="54">SUM(D122:R122)</f>
        <v>0</v>
      </c>
      <c r="D122" s="541">
        <v>0</v>
      </c>
      <c r="E122" s="541">
        <f t="shared" ref="E122:R122" si="55">D122</f>
        <v>0</v>
      </c>
      <c r="F122" s="541">
        <f t="shared" si="55"/>
        <v>0</v>
      </c>
      <c r="G122" s="541">
        <f t="shared" si="55"/>
        <v>0</v>
      </c>
      <c r="H122" s="541">
        <f t="shared" si="55"/>
        <v>0</v>
      </c>
      <c r="I122" s="541">
        <f t="shared" si="55"/>
        <v>0</v>
      </c>
      <c r="J122" s="541">
        <f t="shared" si="55"/>
        <v>0</v>
      </c>
      <c r="K122" s="541">
        <f t="shared" si="55"/>
        <v>0</v>
      </c>
      <c r="L122" s="541">
        <f t="shared" si="55"/>
        <v>0</v>
      </c>
      <c r="M122" s="541">
        <f t="shared" si="55"/>
        <v>0</v>
      </c>
      <c r="N122" s="541">
        <f t="shared" si="55"/>
        <v>0</v>
      </c>
      <c r="O122" s="541">
        <f t="shared" si="55"/>
        <v>0</v>
      </c>
      <c r="P122" s="541">
        <f t="shared" si="55"/>
        <v>0</v>
      </c>
      <c r="Q122" s="541">
        <f t="shared" si="55"/>
        <v>0</v>
      </c>
      <c r="R122" s="542">
        <f t="shared" si="55"/>
        <v>0</v>
      </c>
    </row>
    <row r="123" spans="1:18" ht="14.4" thickBot="1" x14ac:dyDescent="0.35">
      <c r="A123" s="622"/>
      <c r="B123" s="450" t="s">
        <v>57</v>
      </c>
      <c r="C123" s="448">
        <f t="shared" si="54"/>
        <v>0</v>
      </c>
      <c r="D123" s="448">
        <f t="shared" ref="D123:R123" si="56">SUM(D122:D122)</f>
        <v>0</v>
      </c>
      <c r="E123" s="448">
        <f t="shared" si="56"/>
        <v>0</v>
      </c>
      <c r="F123" s="448">
        <f t="shared" si="56"/>
        <v>0</v>
      </c>
      <c r="G123" s="448">
        <f t="shared" si="56"/>
        <v>0</v>
      </c>
      <c r="H123" s="448">
        <f t="shared" si="56"/>
        <v>0</v>
      </c>
      <c r="I123" s="448">
        <f t="shared" si="56"/>
        <v>0</v>
      </c>
      <c r="J123" s="448">
        <f t="shared" si="56"/>
        <v>0</v>
      </c>
      <c r="K123" s="448">
        <f t="shared" si="56"/>
        <v>0</v>
      </c>
      <c r="L123" s="448">
        <f t="shared" si="56"/>
        <v>0</v>
      </c>
      <c r="M123" s="448">
        <f t="shared" si="56"/>
        <v>0</v>
      </c>
      <c r="N123" s="448">
        <f t="shared" si="56"/>
        <v>0</v>
      </c>
      <c r="O123" s="448">
        <f t="shared" si="56"/>
        <v>0</v>
      </c>
      <c r="P123" s="448">
        <f t="shared" si="56"/>
        <v>0</v>
      </c>
      <c r="Q123" s="448">
        <f t="shared" si="56"/>
        <v>0</v>
      </c>
      <c r="R123" s="449">
        <f t="shared" si="56"/>
        <v>0</v>
      </c>
    </row>
    <row r="125" spans="1:18" ht="14.4" thickBot="1" x14ac:dyDescent="0.35"/>
    <row r="126" spans="1:18" ht="16.2" thickBot="1" x14ac:dyDescent="0.35">
      <c r="B126" s="453" t="s">
        <v>278</v>
      </c>
      <c r="C126" s="451">
        <f>SUM(C89,C104,C119,C123)</f>
        <v>-80123202.221959531</v>
      </c>
      <c r="D126" s="451">
        <f t="shared" ref="D126:R126" si="57">SUM(D89,D104,D119,D123)</f>
        <v>-4701669.2147973012</v>
      </c>
      <c r="E126" s="451">
        <f t="shared" si="57"/>
        <v>-4962921.2147973012</v>
      </c>
      <c r="F126" s="451">
        <f t="shared" si="57"/>
        <v>-5419893.2147973012</v>
      </c>
      <c r="G126" s="451">
        <f t="shared" si="57"/>
        <v>-5419893.2147973012</v>
      </c>
      <c r="H126" s="451">
        <f t="shared" si="57"/>
        <v>-5419893.2147973012</v>
      </c>
      <c r="I126" s="451">
        <f t="shared" si="57"/>
        <v>-5419893.2147973012</v>
      </c>
      <c r="J126" s="451">
        <f t="shared" si="57"/>
        <v>-5419893.2147973012</v>
      </c>
      <c r="K126" s="451">
        <f t="shared" si="57"/>
        <v>-5419893.2147973012</v>
      </c>
      <c r="L126" s="451">
        <f t="shared" si="57"/>
        <v>-5419893.2147973012</v>
      </c>
      <c r="M126" s="451">
        <f t="shared" si="57"/>
        <v>-5419893.2147973012</v>
      </c>
      <c r="N126" s="451">
        <f t="shared" si="57"/>
        <v>-5419893.2147973012</v>
      </c>
      <c r="O126" s="451">
        <f t="shared" si="57"/>
        <v>-5419893.2147973012</v>
      </c>
      <c r="P126" s="451">
        <f t="shared" si="57"/>
        <v>-5419893.2147973012</v>
      </c>
      <c r="Q126" s="451">
        <f t="shared" si="57"/>
        <v>-5419893.2147973012</v>
      </c>
      <c r="R126" s="452">
        <f t="shared" si="57"/>
        <v>-5419893.2147973012</v>
      </c>
    </row>
    <row r="129" spans="2:3" x14ac:dyDescent="0.3">
      <c r="B129" s="413" t="s">
        <v>279</v>
      </c>
      <c r="C129" s="543" t="s">
        <v>275</v>
      </c>
    </row>
    <row r="130" spans="2:3" x14ac:dyDescent="0.3">
      <c r="B130" s="37" t="s">
        <v>282</v>
      </c>
      <c r="C130" s="464">
        <f>C48</f>
        <v>-87854159.03502503</v>
      </c>
    </row>
    <row r="131" spans="2:3" x14ac:dyDescent="0.3">
      <c r="B131" s="37" t="s">
        <v>283</v>
      </c>
      <c r="C131" s="464">
        <f>C126</f>
        <v>-80123202.221959531</v>
      </c>
    </row>
    <row r="132" spans="2:3" x14ac:dyDescent="0.3">
      <c r="B132" s="463" t="s">
        <v>280</v>
      </c>
      <c r="C132" s="465">
        <f>C130-C131</f>
        <v>-7730956.8130654991</v>
      </c>
    </row>
  </sheetData>
  <mergeCells count="6">
    <mergeCell ref="A2:B2"/>
    <mergeCell ref="A3:A46"/>
    <mergeCell ref="A50:B50"/>
    <mergeCell ref="A51:A76"/>
    <mergeCell ref="A80:B80"/>
    <mergeCell ref="A81:A123"/>
  </mergeCells>
  <pageMargins left="0.19687499999999999" right="0.26250000000000001" top="0.88958333333333328" bottom="0.7" header="0.5" footer="0.5"/>
  <pageSetup paperSize="9" scale="70" orientation="landscape" r:id="rId1"/>
  <headerFooter alignWithMargins="0">
    <oddHeader>&amp;LPríloha 7: Štandardné tabuľky - Cesty
&amp;"Arial,Tučné"&amp;12 03 Náklady na prevádzku a údržbu</oddHeader>
    <oddFooter>Strana &amp;P z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Z420"/>
  <sheetViews>
    <sheetView showGridLines="0" topLeftCell="A150" zoomScale="70" zoomScaleNormal="70" workbookViewId="0">
      <selection activeCell="B110" sqref="B110"/>
    </sheetView>
  </sheetViews>
  <sheetFormatPr defaultColWidth="8.6640625" defaultRowHeight="13.8" x14ac:dyDescent="0.3"/>
  <cols>
    <col min="1" max="1" width="14.44140625" style="51" customWidth="1"/>
    <col min="2" max="2" width="79.33203125" style="51" customWidth="1"/>
    <col min="3" max="3" width="29.109375" style="51" customWidth="1"/>
    <col min="4" max="4" width="23.44140625" style="51" customWidth="1"/>
    <col min="5" max="7" width="15" style="51" customWidth="1"/>
    <col min="8" max="12" width="8.6640625" style="51"/>
    <col min="13" max="13" width="0" style="51" hidden="1" customWidth="1"/>
    <col min="14" max="14" width="11.109375" style="51" hidden="1" customWidth="1"/>
    <col min="15" max="17" width="0" style="51" hidden="1" customWidth="1"/>
    <col min="18" max="18" width="9.44140625" style="51" hidden="1" customWidth="1"/>
    <col min="19" max="19" width="13.6640625" style="51" hidden="1" customWidth="1"/>
    <col min="20" max="26" width="0" style="51" hidden="1" customWidth="1"/>
    <col min="27" max="16384" width="8.6640625" style="51"/>
  </cols>
  <sheetData>
    <row r="1" spans="1:20" ht="14.4" hidden="1" thickBot="1" x14ac:dyDescent="0.35">
      <c r="A1" s="304"/>
      <c r="B1" s="305"/>
      <c r="C1" s="305"/>
      <c r="D1" s="306"/>
    </row>
    <row r="2" spans="1:20" ht="14.4" hidden="1" thickBot="1" x14ac:dyDescent="0.35">
      <c r="A2" s="298"/>
      <c r="D2" s="299"/>
    </row>
    <row r="3" spans="1:20" ht="14.4" hidden="1" thickBot="1" x14ac:dyDescent="0.35">
      <c r="A3" s="298"/>
      <c r="D3" s="299"/>
    </row>
    <row r="4" spans="1:20" ht="14.4" hidden="1" thickBot="1" x14ac:dyDescent="0.35">
      <c r="A4" s="298"/>
      <c r="B4" s="52" t="s">
        <v>0</v>
      </c>
      <c r="C4" s="307"/>
      <c r="D4" s="299"/>
    </row>
    <row r="5" spans="1:20" ht="14.4" hidden="1" thickBot="1" x14ac:dyDescent="0.35">
      <c r="A5" s="298"/>
      <c r="B5" s="51" t="s">
        <v>1</v>
      </c>
      <c r="C5" s="308">
        <v>0.04</v>
      </c>
      <c r="D5" s="299"/>
    </row>
    <row r="6" spans="1:20" ht="14.4" hidden="1" thickBot="1" x14ac:dyDescent="0.35">
      <c r="A6" s="298"/>
      <c r="B6" s="51" t="s">
        <v>2</v>
      </c>
      <c r="C6" s="308">
        <v>0.05</v>
      </c>
      <c r="D6" s="299"/>
    </row>
    <row r="7" spans="1:20" ht="14.4" hidden="1" thickBot="1" x14ac:dyDescent="0.35">
      <c r="A7" s="298"/>
      <c r="B7" s="51" t="s">
        <v>3</v>
      </c>
      <c r="C7" s="308">
        <v>0.9</v>
      </c>
      <c r="D7" s="299"/>
    </row>
    <row r="8" spans="1:20" ht="14.4" hidden="1" thickBot="1" x14ac:dyDescent="0.35">
      <c r="A8" s="298"/>
      <c r="B8" s="51" t="s">
        <v>4</v>
      </c>
      <c r="C8" s="309">
        <v>0</v>
      </c>
      <c r="D8" s="299" t="s">
        <v>5</v>
      </c>
    </row>
    <row r="9" spans="1:20" ht="14.4" hidden="1" thickBot="1" x14ac:dyDescent="0.35">
      <c r="A9" s="298"/>
      <c r="B9" s="51" t="s">
        <v>6</v>
      </c>
      <c r="C9" s="309">
        <v>0</v>
      </c>
      <c r="D9" s="299" t="s">
        <v>7</v>
      </c>
    </row>
    <row r="10" spans="1:20" ht="14.4" hidden="1" thickBot="1" x14ac:dyDescent="0.35">
      <c r="A10" s="298"/>
      <c r="D10" s="299"/>
    </row>
    <row r="11" spans="1:20" ht="14.4" hidden="1" thickBot="1" x14ac:dyDescent="0.35">
      <c r="A11" s="298"/>
      <c r="B11" s="52"/>
      <c r="C11" s="309"/>
      <c r="D11" s="299"/>
    </row>
    <row r="12" spans="1:20" ht="14.4" hidden="1" thickBot="1" x14ac:dyDescent="0.35">
      <c r="A12" s="298"/>
      <c r="D12" s="310"/>
      <c r="G12" s="54"/>
      <c r="J12" s="54"/>
      <c r="M12" s="54"/>
      <c r="P12" s="54"/>
      <c r="S12" s="54"/>
    </row>
    <row r="13" spans="1:20" ht="14.4" hidden="1" thickBot="1" x14ac:dyDescent="0.35">
      <c r="A13" s="298"/>
      <c r="C13" s="309"/>
      <c r="D13" s="299"/>
      <c r="N13" s="55"/>
      <c r="O13" s="55"/>
      <c r="P13" s="55"/>
      <c r="Q13" s="55"/>
      <c r="R13" s="55"/>
      <c r="S13" s="55"/>
      <c r="T13" s="55"/>
    </row>
    <row r="14" spans="1:20" ht="14.4" hidden="1" thickBot="1" x14ac:dyDescent="0.35">
      <c r="A14" s="298"/>
      <c r="C14" s="309"/>
      <c r="D14" s="299"/>
      <c r="N14" s="55"/>
      <c r="O14" s="55"/>
      <c r="P14" s="55"/>
      <c r="Q14" s="55"/>
      <c r="R14" s="55"/>
      <c r="S14" s="55"/>
      <c r="T14" s="55"/>
    </row>
    <row r="15" spans="1:20" ht="96.75" customHeight="1" thickTop="1" thickBot="1" x14ac:dyDescent="0.35">
      <c r="A15" s="610" t="s">
        <v>218</v>
      </c>
      <c r="B15" s="596"/>
      <c r="C15" s="596"/>
      <c r="D15" s="611"/>
      <c r="N15" s="55"/>
      <c r="O15" s="55"/>
      <c r="P15" s="55"/>
      <c r="Q15" s="55"/>
      <c r="R15" s="55"/>
      <c r="S15" s="55"/>
      <c r="T15" s="55"/>
    </row>
    <row r="16" spans="1:20" ht="37.950000000000003" customHeight="1" thickTop="1" thickBot="1" x14ac:dyDescent="0.35">
      <c r="A16" s="612" t="s">
        <v>146</v>
      </c>
      <c r="B16" s="56" t="s">
        <v>165</v>
      </c>
      <c r="C16" s="57"/>
      <c r="D16" s="311"/>
      <c r="E16" s="193"/>
    </row>
    <row r="17" spans="1:8" ht="19.5" customHeight="1" x14ac:dyDescent="0.35">
      <c r="A17" s="613"/>
      <c r="B17" s="59" t="s">
        <v>166</v>
      </c>
      <c r="C17" s="60"/>
      <c r="D17" s="287"/>
      <c r="E17" s="193"/>
    </row>
    <row r="18" spans="1:8" x14ac:dyDescent="0.3">
      <c r="A18" s="613"/>
      <c r="B18" s="61" t="s">
        <v>164</v>
      </c>
      <c r="C18" s="62">
        <v>4100.21</v>
      </c>
      <c r="D18" s="295" t="s">
        <v>8</v>
      </c>
      <c r="F18" s="64"/>
    </row>
    <row r="19" spans="1:8" x14ac:dyDescent="0.3">
      <c r="A19" s="613"/>
      <c r="B19" s="61" t="s">
        <v>9</v>
      </c>
      <c r="C19" s="65">
        <f>12.571*1.02*1.02</f>
        <v>13.078868399999999</v>
      </c>
      <c r="D19" s="295" t="s">
        <v>10</v>
      </c>
    </row>
    <row r="20" spans="1:8" x14ac:dyDescent="0.3">
      <c r="A20" s="613"/>
      <c r="B20" s="61" t="s">
        <v>11</v>
      </c>
      <c r="C20" s="62">
        <f>C19*C18*12</f>
        <v>643513.28402836795</v>
      </c>
      <c r="D20" s="295" t="s">
        <v>12</v>
      </c>
    </row>
    <row r="21" spans="1:8" x14ac:dyDescent="0.3">
      <c r="A21" s="613"/>
      <c r="B21" s="61"/>
      <c r="C21" s="65"/>
      <c r="D21" s="295"/>
    </row>
    <row r="22" spans="1:8" x14ac:dyDescent="0.3">
      <c r="A22" s="613"/>
      <c r="B22" s="66" t="s">
        <v>13</v>
      </c>
      <c r="C22" s="65"/>
      <c r="D22" s="295"/>
    </row>
    <row r="23" spans="1:8" x14ac:dyDescent="0.3">
      <c r="A23" s="613"/>
      <c r="B23" s="61" t="s">
        <v>14</v>
      </c>
      <c r="C23" s="65">
        <v>0</v>
      </c>
      <c r="D23" s="295" t="s">
        <v>15</v>
      </c>
    </row>
    <row r="24" spans="1:8" x14ac:dyDescent="0.3">
      <c r="A24" s="613"/>
      <c r="B24" s="61" t="s">
        <v>16</v>
      </c>
      <c r="C24" s="65">
        <v>41</v>
      </c>
      <c r="D24" s="295" t="s">
        <v>17</v>
      </c>
    </row>
    <row r="25" spans="1:8" x14ac:dyDescent="0.3">
      <c r="A25" s="613"/>
      <c r="B25" s="61" t="s">
        <v>18</v>
      </c>
      <c r="C25" s="65">
        <f>C23*C24*12</f>
        <v>0</v>
      </c>
      <c r="D25" s="295" t="s">
        <v>12</v>
      </c>
    </row>
    <row r="26" spans="1:8" x14ac:dyDescent="0.3">
      <c r="A26" s="613"/>
      <c r="B26" s="61"/>
      <c r="C26" s="65"/>
      <c r="D26" s="295"/>
    </row>
    <row r="27" spans="1:8" x14ac:dyDescent="0.3">
      <c r="A27" s="613"/>
      <c r="B27" s="66" t="s">
        <v>13</v>
      </c>
      <c r="C27" s="65"/>
      <c r="D27" s="295"/>
    </row>
    <row r="28" spans="1:8" x14ac:dyDescent="0.3">
      <c r="A28" s="613"/>
      <c r="B28" s="61" t="s">
        <v>114</v>
      </c>
      <c r="C28" s="62">
        <f>48694.24*1.02*1.02</f>
        <v>50661.487295999999</v>
      </c>
      <c r="D28" s="295" t="s">
        <v>12</v>
      </c>
    </row>
    <row r="29" spans="1:8" x14ac:dyDescent="0.3">
      <c r="A29" s="613"/>
      <c r="B29" s="61"/>
      <c r="C29" s="65"/>
      <c r="D29" s="295"/>
    </row>
    <row r="30" spans="1:8" ht="15.6" x14ac:dyDescent="0.3">
      <c r="A30" s="613"/>
      <c r="B30" s="49" t="s">
        <v>115</v>
      </c>
      <c r="C30" s="50">
        <f>C20+C28</f>
        <v>694174.77132436796</v>
      </c>
      <c r="D30" s="296" t="s">
        <v>12</v>
      </c>
    </row>
    <row r="31" spans="1:8" x14ac:dyDescent="0.3">
      <c r="A31" s="613"/>
      <c r="B31" s="61"/>
      <c r="C31" s="65"/>
      <c r="D31" s="295"/>
    </row>
    <row r="32" spans="1:8" ht="21" x14ac:dyDescent="0.35">
      <c r="A32" s="613"/>
      <c r="B32" s="67" t="s">
        <v>167</v>
      </c>
      <c r="C32" s="68"/>
      <c r="D32" s="297"/>
      <c r="E32" s="193"/>
      <c r="H32" s="53"/>
    </row>
    <row r="33" spans="1:20" x14ac:dyDescent="0.3">
      <c r="A33" s="613"/>
      <c r="B33" s="66"/>
      <c r="C33" s="65"/>
      <c r="D33" s="295"/>
      <c r="H33" s="53"/>
    </row>
    <row r="34" spans="1:20" x14ac:dyDescent="0.3">
      <c r="A34" s="613"/>
      <c r="B34" s="61" t="s">
        <v>161</v>
      </c>
      <c r="C34" s="62">
        <v>11698</v>
      </c>
      <c r="D34" s="295" t="s">
        <v>8</v>
      </c>
      <c r="H34" s="53"/>
    </row>
    <row r="35" spans="1:20" x14ac:dyDescent="0.3">
      <c r="A35" s="613"/>
      <c r="B35" s="66"/>
      <c r="C35" s="62"/>
      <c r="D35" s="295"/>
      <c r="H35" s="53"/>
    </row>
    <row r="36" spans="1:20" x14ac:dyDescent="0.3">
      <c r="A36" s="613"/>
      <c r="B36" s="61" t="s">
        <v>116</v>
      </c>
      <c r="C36" s="69">
        <f>1.48*1.02*1.02</f>
        <v>1.539792</v>
      </c>
      <c r="D36" s="295" t="s">
        <v>80</v>
      </c>
      <c r="H36" s="53"/>
    </row>
    <row r="37" spans="1:20" x14ac:dyDescent="0.3">
      <c r="A37" s="613"/>
      <c r="B37" s="61" t="s">
        <v>116</v>
      </c>
      <c r="C37" s="62">
        <f>C36*$C$34*12</f>
        <v>216149.84179199999</v>
      </c>
      <c r="D37" s="295" t="s">
        <v>81</v>
      </c>
    </row>
    <row r="38" spans="1:20" x14ac:dyDescent="0.3">
      <c r="A38" s="613"/>
      <c r="B38" s="61" t="s">
        <v>117</v>
      </c>
      <c r="C38" s="69">
        <f>0.758*1.02*1.02</f>
        <v>0.78862320000000008</v>
      </c>
      <c r="D38" s="295" t="s">
        <v>80</v>
      </c>
    </row>
    <row r="39" spans="1:20" x14ac:dyDescent="0.3">
      <c r="A39" s="613"/>
      <c r="B39" s="61" t="s">
        <v>117</v>
      </c>
      <c r="C39" s="62">
        <f>C38*$C$34*12</f>
        <v>110703.77032320001</v>
      </c>
      <c r="D39" s="295" t="s">
        <v>81</v>
      </c>
    </row>
    <row r="40" spans="1:20" x14ac:dyDescent="0.3">
      <c r="A40" s="613"/>
      <c r="B40" s="61" t="s">
        <v>118</v>
      </c>
      <c r="C40" s="62">
        <v>0</v>
      </c>
      <c r="D40" s="295" t="s">
        <v>80</v>
      </c>
    </row>
    <row r="41" spans="1:20" x14ac:dyDescent="0.3">
      <c r="A41" s="613"/>
      <c r="B41" s="61" t="s">
        <v>118</v>
      </c>
      <c r="C41" s="62">
        <f>C40*$C$34*12</f>
        <v>0</v>
      </c>
      <c r="D41" s="295" t="s">
        <v>81</v>
      </c>
    </row>
    <row r="42" spans="1:20" x14ac:dyDescent="0.3">
      <c r="A42" s="613"/>
      <c r="B42" s="61" t="s">
        <v>119</v>
      </c>
      <c r="C42" s="69">
        <f>0.019*1.02*1.02</f>
        <v>1.9767600000000003E-2</v>
      </c>
      <c r="D42" s="295" t="s">
        <v>80</v>
      </c>
    </row>
    <row r="43" spans="1:20" x14ac:dyDescent="0.3">
      <c r="A43" s="613"/>
      <c r="B43" s="61" t="s">
        <v>119</v>
      </c>
      <c r="C43" s="62">
        <f>C42*(5851.14+3454+2386)*12</f>
        <v>2773.2693487680003</v>
      </c>
      <c r="D43" s="295" t="s">
        <v>81</v>
      </c>
      <c r="N43" s="55"/>
      <c r="O43" s="55"/>
      <c r="P43" s="55"/>
      <c r="Q43" s="55"/>
      <c r="R43" s="55"/>
      <c r="S43" s="55"/>
      <c r="T43" s="55"/>
    </row>
    <row r="44" spans="1:20" x14ac:dyDescent="0.3">
      <c r="A44" s="613"/>
      <c r="B44" s="61"/>
      <c r="C44" s="185"/>
      <c r="D44" s="295"/>
      <c r="N44" s="55"/>
      <c r="O44" s="55"/>
      <c r="P44" s="55"/>
      <c r="Q44" s="55"/>
      <c r="R44" s="55"/>
      <c r="S44" s="55"/>
      <c r="T44" s="55"/>
    </row>
    <row r="45" spans="1:20" x14ac:dyDescent="0.3">
      <c r="A45" s="613"/>
      <c r="B45" s="61" t="s">
        <v>120</v>
      </c>
      <c r="C45" s="62">
        <v>36477</v>
      </c>
      <c r="D45" s="295" t="s">
        <v>12</v>
      </c>
      <c r="N45" s="55"/>
      <c r="O45" s="55"/>
      <c r="P45" s="55"/>
      <c r="Q45" s="55"/>
      <c r="R45" s="55"/>
      <c r="S45" s="55"/>
      <c r="T45" s="55"/>
    </row>
    <row r="46" spans="1:20" x14ac:dyDescent="0.3">
      <c r="A46" s="613"/>
      <c r="B46" s="184"/>
      <c r="C46" s="185"/>
      <c r="D46" s="295"/>
      <c r="N46" s="55"/>
      <c r="O46" s="55"/>
      <c r="P46" s="55"/>
      <c r="Q46" s="55"/>
      <c r="R46" s="55"/>
      <c r="S46" s="55"/>
      <c r="T46" s="55"/>
    </row>
    <row r="47" spans="1:20" x14ac:dyDescent="0.3">
      <c r="A47" s="613"/>
      <c r="B47" s="61" t="s">
        <v>121</v>
      </c>
      <c r="C47" s="65">
        <f>C39+C43+C44+C45</f>
        <v>149954.039671968</v>
      </c>
      <c r="D47" s="295" t="s">
        <v>12</v>
      </c>
      <c r="N47" s="55"/>
      <c r="O47" s="55"/>
      <c r="P47" s="55"/>
      <c r="Q47" s="55"/>
      <c r="R47" s="55"/>
      <c r="S47" s="55"/>
      <c r="T47" s="55"/>
    </row>
    <row r="48" spans="1:20" ht="15.6" x14ac:dyDescent="0.3">
      <c r="A48" s="613"/>
      <c r="B48" s="49" t="s">
        <v>122</v>
      </c>
      <c r="C48" s="50">
        <f>C37+C39+C43+C44+C45</f>
        <v>366103.88146396802</v>
      </c>
      <c r="D48" s="296" t="s">
        <v>12</v>
      </c>
      <c r="N48" s="55"/>
      <c r="O48" s="55"/>
      <c r="P48" s="55"/>
      <c r="Q48" s="55"/>
      <c r="R48" s="55"/>
      <c r="S48" s="55"/>
      <c r="T48" s="55"/>
    </row>
    <row r="49" spans="1:20" x14ac:dyDescent="0.3">
      <c r="A49" s="613"/>
      <c r="B49" s="61"/>
      <c r="C49" s="70"/>
      <c r="D49" s="295"/>
      <c r="N49" s="55"/>
      <c r="O49" s="55"/>
      <c r="P49" s="55"/>
      <c r="Q49" s="55"/>
      <c r="R49" s="55"/>
      <c r="S49" s="55"/>
      <c r="T49" s="55"/>
    </row>
    <row r="50" spans="1:20" x14ac:dyDescent="0.3">
      <c r="A50" s="613"/>
      <c r="B50" s="61"/>
      <c r="C50" s="70"/>
      <c r="D50" s="295"/>
      <c r="E50" s="294"/>
      <c r="N50" s="55"/>
      <c r="O50" s="55"/>
      <c r="P50" s="55"/>
      <c r="Q50" s="55"/>
      <c r="R50" s="55"/>
      <c r="S50" s="55"/>
      <c r="T50" s="55"/>
    </row>
    <row r="51" spans="1:20" x14ac:dyDescent="0.3">
      <c r="A51" s="613"/>
      <c r="B51" s="61"/>
      <c r="C51" s="70"/>
      <c r="D51" s="295"/>
      <c r="E51" s="294"/>
      <c r="N51" s="55"/>
      <c r="O51" s="55"/>
      <c r="P51" s="55"/>
      <c r="Q51" s="55"/>
      <c r="R51" s="55"/>
      <c r="S51" s="55"/>
      <c r="T51" s="55"/>
    </row>
    <row r="52" spans="1:20" x14ac:dyDescent="0.3">
      <c r="A52" s="613"/>
      <c r="B52" s="61"/>
      <c r="C52" s="70"/>
      <c r="D52" s="295"/>
      <c r="N52" s="55"/>
      <c r="O52" s="55"/>
      <c r="P52" s="55"/>
      <c r="Q52" s="55"/>
      <c r="R52" s="55"/>
      <c r="S52" s="55"/>
      <c r="T52" s="55"/>
    </row>
    <row r="53" spans="1:20" x14ac:dyDescent="0.3">
      <c r="A53" s="613"/>
      <c r="B53" s="66" t="s">
        <v>68</v>
      </c>
      <c r="C53" s="70"/>
      <c r="D53" s="295"/>
      <c r="N53" s="55"/>
      <c r="O53" s="55"/>
      <c r="P53" s="55"/>
      <c r="Q53" s="55"/>
      <c r="R53" s="55"/>
      <c r="S53" s="55"/>
      <c r="T53" s="55"/>
    </row>
    <row r="54" spans="1:20" ht="14.4" thickBot="1" x14ac:dyDescent="0.35">
      <c r="A54" s="613"/>
      <c r="B54" s="71" t="s">
        <v>85</v>
      </c>
      <c r="C54" s="72"/>
      <c r="D54" s="300" t="s">
        <v>12</v>
      </c>
      <c r="N54" s="55"/>
      <c r="O54" s="55"/>
      <c r="P54" s="55"/>
      <c r="Q54" s="55"/>
      <c r="R54" s="55"/>
      <c r="S54" s="55"/>
      <c r="T54" s="55"/>
    </row>
    <row r="55" spans="1:20" ht="34.5" customHeight="1" x14ac:dyDescent="0.3">
      <c r="A55" s="312"/>
      <c r="B55" s="313" t="s">
        <v>217</v>
      </c>
      <c r="C55" s="301">
        <f>C30+C37+C39+C43+C45</f>
        <v>1060278.6527883359</v>
      </c>
      <c r="D55" s="314" t="s">
        <v>12</v>
      </c>
      <c r="N55" s="55"/>
      <c r="O55" s="55"/>
      <c r="P55" s="55"/>
      <c r="Q55" s="55"/>
      <c r="R55" s="55"/>
      <c r="S55" s="55"/>
      <c r="T55" s="55"/>
    </row>
    <row r="56" spans="1:20" ht="15.6" x14ac:dyDescent="0.3">
      <c r="A56" s="312"/>
      <c r="B56" s="302" t="s">
        <v>238</v>
      </c>
      <c r="C56" s="303">
        <f>3000000/15</f>
        <v>200000</v>
      </c>
      <c r="D56" s="315" t="s">
        <v>81</v>
      </c>
      <c r="N56" s="55"/>
      <c r="O56" s="55"/>
      <c r="P56" s="55"/>
      <c r="Q56" s="55"/>
      <c r="R56" s="55"/>
      <c r="S56" s="55"/>
      <c r="T56" s="55"/>
    </row>
    <row r="57" spans="1:20" ht="21" x14ac:dyDescent="0.3">
      <c r="A57" s="312"/>
      <c r="B57" s="75"/>
      <c r="C57" s="249"/>
      <c r="D57" s="316"/>
      <c r="N57" s="55"/>
      <c r="O57" s="55"/>
      <c r="P57" s="55"/>
      <c r="Q57" s="55"/>
      <c r="R57" s="55"/>
      <c r="S57" s="55"/>
      <c r="T57" s="55"/>
    </row>
    <row r="58" spans="1:20" ht="34.5" customHeight="1" x14ac:dyDescent="0.3">
      <c r="A58" s="312"/>
      <c r="B58" s="75" t="s">
        <v>268</v>
      </c>
      <c r="C58" s="249">
        <f>C55+C56</f>
        <v>1260278.6527883359</v>
      </c>
      <c r="D58" s="316" t="s">
        <v>12</v>
      </c>
      <c r="N58" s="55"/>
      <c r="O58" s="55"/>
      <c r="P58" s="55"/>
      <c r="Q58" s="55"/>
      <c r="R58" s="55"/>
      <c r="S58" s="55"/>
      <c r="T58" s="55"/>
    </row>
    <row r="59" spans="1:20" ht="21.6" thickBot="1" x14ac:dyDescent="0.35">
      <c r="A59" s="317"/>
      <c r="B59" s="318"/>
      <c r="C59" s="319"/>
      <c r="D59" s="320"/>
      <c r="N59" s="55"/>
      <c r="O59" s="55"/>
      <c r="P59" s="55"/>
      <c r="Q59" s="55"/>
      <c r="R59" s="55"/>
      <c r="S59" s="55"/>
      <c r="T59" s="55"/>
    </row>
    <row r="60" spans="1:20" ht="21" customHeight="1" x14ac:dyDescent="0.3">
      <c r="A60" s="614"/>
      <c r="B60" s="614"/>
      <c r="C60" s="614"/>
      <c r="D60" s="614"/>
      <c r="N60" s="55"/>
      <c r="O60" s="55"/>
      <c r="P60" s="55"/>
      <c r="Q60" s="55"/>
      <c r="R60" s="55"/>
      <c r="S60" s="55"/>
      <c r="T60" s="55"/>
    </row>
    <row r="61" spans="1:20" ht="36" thickBot="1" x14ac:dyDescent="0.35">
      <c r="A61" s="603" t="s">
        <v>147</v>
      </c>
      <c r="B61" s="47" t="s">
        <v>168</v>
      </c>
      <c r="C61" s="76"/>
      <c r="D61" s="77"/>
      <c r="E61" s="193"/>
    </row>
    <row r="62" spans="1:20" ht="19.5" customHeight="1" x14ac:dyDescent="0.35">
      <c r="A62" s="603"/>
      <c r="B62" s="59" t="s">
        <v>128</v>
      </c>
      <c r="C62" s="60"/>
      <c r="D62" s="287"/>
      <c r="E62" s="193"/>
    </row>
    <row r="63" spans="1:20" x14ac:dyDescent="0.3">
      <c r="A63" s="603"/>
      <c r="B63" s="78" t="s">
        <v>160</v>
      </c>
      <c r="C63" s="79">
        <v>7263</v>
      </c>
      <c r="D63" s="288" t="s">
        <v>8</v>
      </c>
    </row>
    <row r="64" spans="1:20" x14ac:dyDescent="0.3">
      <c r="A64" s="603"/>
      <c r="B64" s="78" t="s">
        <v>126</v>
      </c>
      <c r="C64" s="79">
        <v>20.98</v>
      </c>
      <c r="D64" s="288" t="s">
        <v>10</v>
      </c>
    </row>
    <row r="65" spans="1:5" ht="15.6" x14ac:dyDescent="0.3">
      <c r="A65" s="603"/>
      <c r="B65" s="81" t="s">
        <v>11</v>
      </c>
      <c r="C65" s="82">
        <f>C64*C63*12</f>
        <v>1828532.88</v>
      </c>
      <c r="D65" s="289" t="s">
        <v>12</v>
      </c>
      <c r="E65" s="194"/>
    </row>
    <row r="66" spans="1:5" x14ac:dyDescent="0.3">
      <c r="A66" s="603"/>
      <c r="B66" s="78"/>
      <c r="C66" s="79"/>
      <c r="D66" s="288"/>
    </row>
    <row r="67" spans="1:5" x14ac:dyDescent="0.3">
      <c r="A67" s="603"/>
      <c r="B67" s="83" t="s">
        <v>13</v>
      </c>
      <c r="C67" s="79"/>
      <c r="D67" s="288"/>
    </row>
    <row r="68" spans="1:5" x14ac:dyDescent="0.3">
      <c r="A68" s="603"/>
      <c r="B68" s="78" t="s">
        <v>14</v>
      </c>
      <c r="C68" s="79"/>
      <c r="D68" s="288" t="s">
        <v>15</v>
      </c>
    </row>
    <row r="69" spans="1:5" x14ac:dyDescent="0.3">
      <c r="A69" s="603"/>
      <c r="B69" s="78" t="s">
        <v>16</v>
      </c>
      <c r="C69" s="79"/>
      <c r="D69" s="288" t="s">
        <v>17</v>
      </c>
    </row>
    <row r="70" spans="1:5" x14ac:dyDescent="0.3">
      <c r="A70" s="603"/>
      <c r="B70" s="78" t="s">
        <v>18</v>
      </c>
      <c r="C70" s="79">
        <f>C68*C69*12</f>
        <v>0</v>
      </c>
      <c r="D70" s="288" t="s">
        <v>12</v>
      </c>
    </row>
    <row r="71" spans="1:5" x14ac:dyDescent="0.3">
      <c r="A71" s="603"/>
      <c r="B71" s="78"/>
      <c r="C71" s="79"/>
      <c r="D71" s="288"/>
    </row>
    <row r="72" spans="1:5" ht="21" x14ac:dyDescent="0.35">
      <c r="A72" s="603"/>
      <c r="B72" s="67" t="s">
        <v>133</v>
      </c>
      <c r="C72" s="84"/>
      <c r="D72" s="290"/>
      <c r="E72" s="193"/>
    </row>
    <row r="73" spans="1:5" x14ac:dyDescent="0.3">
      <c r="A73" s="603"/>
      <c r="B73" s="78" t="s">
        <v>162</v>
      </c>
      <c r="C73" s="79">
        <v>4459</v>
      </c>
      <c r="D73" s="288" t="s">
        <v>8</v>
      </c>
    </row>
    <row r="74" spans="1:5" x14ac:dyDescent="0.3">
      <c r="A74" s="603"/>
      <c r="B74" s="78" t="s">
        <v>20</v>
      </c>
      <c r="C74" s="195">
        <v>2.36</v>
      </c>
      <c r="D74" s="288" t="s">
        <v>80</v>
      </c>
    </row>
    <row r="75" spans="1:5" x14ac:dyDescent="0.3">
      <c r="A75" s="603"/>
      <c r="B75" s="78" t="s">
        <v>20</v>
      </c>
      <c r="C75" s="195">
        <f>C74*C73*12</f>
        <v>126278.88</v>
      </c>
      <c r="D75" s="288" t="s">
        <v>81</v>
      </c>
      <c r="E75" s="194"/>
    </row>
    <row r="76" spans="1:5" x14ac:dyDescent="0.3">
      <c r="A76" s="603"/>
      <c r="B76" s="78" t="s">
        <v>82</v>
      </c>
      <c r="C76" s="195">
        <f>((24310/120*100)*1.02*1.02*1.02)/C73/12</f>
        <v>0.40177740524781352</v>
      </c>
      <c r="D76" s="288" t="s">
        <v>80</v>
      </c>
    </row>
    <row r="77" spans="1:5" x14ac:dyDescent="0.3">
      <c r="A77" s="603"/>
      <c r="B77" s="78" t="s">
        <v>82</v>
      </c>
      <c r="C77" s="195">
        <f>C76*C73*12</f>
        <v>21498.305400000005</v>
      </c>
      <c r="D77" s="288" t="s">
        <v>81</v>
      </c>
    </row>
    <row r="78" spans="1:5" x14ac:dyDescent="0.3">
      <c r="A78" s="603"/>
      <c r="B78" s="78" t="s">
        <v>83</v>
      </c>
      <c r="C78" s="195">
        <v>4.1399999999999997</v>
      </c>
      <c r="D78" s="288" t="s">
        <v>80</v>
      </c>
    </row>
    <row r="79" spans="1:5" x14ac:dyDescent="0.3">
      <c r="A79" s="603"/>
      <c r="B79" s="78" t="s">
        <v>83</v>
      </c>
      <c r="C79" s="195">
        <f>C78*C73*12</f>
        <v>221523.12</v>
      </c>
      <c r="D79" s="288" t="s">
        <v>81</v>
      </c>
      <c r="E79" s="194"/>
    </row>
    <row r="80" spans="1:5" x14ac:dyDescent="0.3">
      <c r="A80" s="603"/>
      <c r="B80" s="78" t="s">
        <v>139</v>
      </c>
      <c r="C80" s="195"/>
      <c r="D80" s="288" t="s">
        <v>80</v>
      </c>
    </row>
    <row r="81" spans="1:6" x14ac:dyDescent="0.3">
      <c r="A81" s="603"/>
      <c r="B81" s="78" t="s">
        <v>139</v>
      </c>
      <c r="C81" s="79">
        <f>C80*C73*12</f>
        <v>0</v>
      </c>
      <c r="D81" s="288" t="s">
        <v>81</v>
      </c>
    </row>
    <row r="82" spans="1:6" x14ac:dyDescent="0.3">
      <c r="A82" s="603"/>
      <c r="B82" s="78" t="s">
        <v>84</v>
      </c>
      <c r="C82" s="79"/>
      <c r="D82" s="288" t="s">
        <v>81</v>
      </c>
    </row>
    <row r="83" spans="1:6" x14ac:dyDescent="0.3">
      <c r="A83" s="603"/>
      <c r="B83" s="78" t="s">
        <v>120</v>
      </c>
      <c r="C83" s="79">
        <v>17577</v>
      </c>
      <c r="D83" s="288" t="s">
        <v>12</v>
      </c>
    </row>
    <row r="84" spans="1:6" x14ac:dyDescent="0.3">
      <c r="A84" s="603"/>
      <c r="B84" s="78"/>
      <c r="C84" s="85"/>
      <c r="D84" s="288"/>
    </row>
    <row r="85" spans="1:6" x14ac:dyDescent="0.3">
      <c r="A85" s="603"/>
      <c r="B85" s="78" t="s">
        <v>137</v>
      </c>
      <c r="C85" s="86">
        <f>C77+C79+C81+C82+C83</f>
        <v>260598.42540000001</v>
      </c>
      <c r="D85" s="288" t="s">
        <v>12</v>
      </c>
    </row>
    <row r="86" spans="1:6" ht="15.6" x14ac:dyDescent="0.3">
      <c r="A86" s="603"/>
      <c r="B86" s="81" t="s">
        <v>138</v>
      </c>
      <c r="C86" s="82">
        <f>C75+C77+C79+C81+C82+C83</f>
        <v>386877.30540000001</v>
      </c>
      <c r="D86" s="289" t="s">
        <v>12</v>
      </c>
    </row>
    <row r="87" spans="1:6" x14ac:dyDescent="0.3">
      <c r="A87" s="603"/>
      <c r="B87" s="78"/>
      <c r="C87" s="85"/>
      <c r="D87" s="288"/>
      <c r="F87" s="194"/>
    </row>
    <row r="88" spans="1:6" x14ac:dyDescent="0.3">
      <c r="A88" s="603"/>
      <c r="B88" s="78"/>
      <c r="C88" s="85"/>
      <c r="D88" s="288"/>
      <c r="F88" s="194"/>
    </row>
    <row r="89" spans="1:6" ht="21" x14ac:dyDescent="0.35">
      <c r="A89" s="603"/>
      <c r="B89" s="67" t="s">
        <v>134</v>
      </c>
      <c r="C89" s="84"/>
      <c r="D89" s="290"/>
      <c r="E89" s="193"/>
    </row>
    <row r="90" spans="1:6" x14ac:dyDescent="0.3">
      <c r="A90" s="603"/>
      <c r="B90" s="78" t="s">
        <v>163</v>
      </c>
      <c r="C90" s="79">
        <v>3715</v>
      </c>
      <c r="D90" s="288" t="s">
        <v>8</v>
      </c>
    </row>
    <row r="91" spans="1:6" x14ac:dyDescent="0.3">
      <c r="A91" s="603"/>
      <c r="B91" s="78" t="s">
        <v>20</v>
      </c>
      <c r="C91" s="79">
        <f>(((112802-12659)/120*100)*1.02*1.02*1.02)/C90/12</f>
        <v>1.9865513822341858</v>
      </c>
      <c r="D91" s="288" t="s">
        <v>80</v>
      </c>
    </row>
    <row r="92" spans="1:6" x14ac:dyDescent="0.3">
      <c r="A92" s="603"/>
      <c r="B92" s="78" t="s">
        <v>20</v>
      </c>
      <c r="C92" s="79">
        <f>C91*C90*12</f>
        <v>88560.460620000013</v>
      </c>
      <c r="D92" s="288" t="s">
        <v>81</v>
      </c>
      <c r="E92" s="194"/>
    </row>
    <row r="93" spans="1:6" x14ac:dyDescent="0.3">
      <c r="A93" s="603"/>
      <c r="B93" s="78" t="s">
        <v>82</v>
      </c>
      <c r="C93" s="79">
        <f>((6519/120*100)*1.02*1.02*1.02)/C90/12</f>
        <v>0.1293183593539704</v>
      </c>
      <c r="D93" s="288" t="s">
        <v>80</v>
      </c>
    </row>
    <row r="94" spans="1:6" x14ac:dyDescent="0.3">
      <c r="A94" s="603"/>
      <c r="B94" s="78" t="s">
        <v>82</v>
      </c>
      <c r="C94" s="79">
        <f>C93*C90*12</f>
        <v>5765.0124600000008</v>
      </c>
      <c r="D94" s="288" t="s">
        <v>81</v>
      </c>
    </row>
    <row r="95" spans="1:6" x14ac:dyDescent="0.3">
      <c r="A95" s="603"/>
      <c r="B95" s="78" t="s">
        <v>83</v>
      </c>
      <c r="C95" s="79">
        <f>(((10838+25433+30559)/120*100)*1.02*1.02*1.02)/C90/12</f>
        <v>1.3257165141318978</v>
      </c>
      <c r="D95" s="288" t="s">
        <v>80</v>
      </c>
    </row>
    <row r="96" spans="1:6" x14ac:dyDescent="0.3">
      <c r="A96" s="603"/>
      <c r="B96" s="78" t="s">
        <v>83</v>
      </c>
      <c r="C96" s="79">
        <v>189869.88</v>
      </c>
      <c r="D96" s="288" t="s">
        <v>81</v>
      </c>
      <c r="E96" s="194"/>
    </row>
    <row r="97" spans="1:5" x14ac:dyDescent="0.3">
      <c r="A97" s="603"/>
      <c r="B97" s="78"/>
      <c r="C97" s="79"/>
      <c r="D97" s="288"/>
      <c r="E97" s="194"/>
    </row>
    <row r="98" spans="1:5" x14ac:dyDescent="0.3">
      <c r="A98" s="603"/>
      <c r="B98" s="78"/>
      <c r="C98" s="79"/>
      <c r="D98" s="288"/>
    </row>
    <row r="99" spans="1:5" x14ac:dyDescent="0.3">
      <c r="A99" s="603"/>
      <c r="B99" s="78" t="s">
        <v>197</v>
      </c>
      <c r="C99" s="79">
        <v>44265</v>
      </c>
      <c r="D99" s="288" t="s">
        <v>81</v>
      </c>
    </row>
    <row r="100" spans="1:5" x14ac:dyDescent="0.3">
      <c r="A100" s="603"/>
      <c r="B100" s="78" t="s">
        <v>120</v>
      </c>
      <c r="C100" s="79">
        <v>17555</v>
      </c>
      <c r="D100" s="288" t="s">
        <v>12</v>
      </c>
    </row>
    <row r="101" spans="1:5" x14ac:dyDescent="0.3">
      <c r="A101" s="603"/>
      <c r="B101" s="78"/>
      <c r="C101" s="85"/>
      <c r="D101" s="288"/>
    </row>
    <row r="102" spans="1:5" x14ac:dyDescent="0.3">
      <c r="A102" s="603"/>
      <c r="B102" s="78" t="s">
        <v>135</v>
      </c>
      <c r="C102" s="86">
        <f>C94+C96+C98+C99+C100</f>
        <v>257454.89246</v>
      </c>
      <c r="D102" s="288" t="s">
        <v>12</v>
      </c>
    </row>
    <row r="103" spans="1:5" ht="15.6" x14ac:dyDescent="0.3">
      <c r="A103" s="603"/>
      <c r="B103" s="81" t="s">
        <v>136</v>
      </c>
      <c r="C103" s="82">
        <f>C92+C94+C96+C98+C99+C100</f>
        <v>346015.35308000003</v>
      </c>
      <c r="D103" s="289" t="s">
        <v>12</v>
      </c>
    </row>
    <row r="104" spans="1:5" x14ac:dyDescent="0.3">
      <c r="A104" s="603"/>
      <c r="B104" s="78"/>
      <c r="C104" s="85"/>
      <c r="D104" s="288"/>
    </row>
    <row r="105" spans="1:5" x14ac:dyDescent="0.3">
      <c r="A105" s="603"/>
      <c r="B105" s="78"/>
      <c r="C105" s="85"/>
      <c r="D105" s="288"/>
    </row>
    <row r="106" spans="1:5" x14ac:dyDescent="0.3">
      <c r="A106" s="603"/>
      <c r="B106" s="83" t="s">
        <v>68</v>
      </c>
      <c r="C106" s="85"/>
      <c r="D106" s="288"/>
    </row>
    <row r="107" spans="1:5" ht="14.4" thickBot="1" x14ac:dyDescent="0.35">
      <c r="A107" s="603"/>
      <c r="B107" s="87" t="s">
        <v>85</v>
      </c>
      <c r="C107" s="88"/>
      <c r="D107" s="291" t="s">
        <v>12</v>
      </c>
    </row>
    <row r="108" spans="1:5" ht="21" x14ac:dyDescent="0.3">
      <c r="A108" s="286"/>
      <c r="B108" s="274" t="s">
        <v>254</v>
      </c>
      <c r="C108" s="275">
        <f>(C103+C86+C65)/1.23</f>
        <v>2082459.7873821135</v>
      </c>
      <c r="D108" s="276" t="s">
        <v>12</v>
      </c>
    </row>
    <row r="109" spans="1:5" s="93" customFormat="1" ht="13.8" customHeight="1" x14ac:dyDescent="0.3">
      <c r="A109" s="273"/>
      <c r="B109" s="285" t="s">
        <v>297</v>
      </c>
      <c r="C109" s="627">
        <v>235000</v>
      </c>
      <c r="D109" s="284" t="s">
        <v>81</v>
      </c>
    </row>
    <row r="110" spans="1:5" s="93" customFormat="1" ht="13.8" customHeight="1" x14ac:dyDescent="0.3">
      <c r="A110" s="273"/>
      <c r="B110" s="285" t="s">
        <v>298</v>
      </c>
      <c r="C110" s="627">
        <v>195000</v>
      </c>
      <c r="D110" s="284" t="s">
        <v>81</v>
      </c>
    </row>
    <row r="111" spans="1:5" s="93" customFormat="1" ht="13.8" customHeight="1" x14ac:dyDescent="0.3">
      <c r="A111" s="273"/>
      <c r="B111" s="274"/>
      <c r="C111" s="275"/>
      <c r="D111" s="276"/>
    </row>
    <row r="112" spans="1:5" s="93" customFormat="1" ht="21" x14ac:dyDescent="0.3">
      <c r="A112" s="273"/>
      <c r="B112" s="274" t="s">
        <v>287</v>
      </c>
      <c r="C112" s="275">
        <f>SUM(C108:C110)</f>
        <v>2512459.7873821137</v>
      </c>
      <c r="D112" s="276"/>
    </row>
    <row r="113" spans="1:5" s="93" customFormat="1" ht="13.8" customHeight="1" x14ac:dyDescent="0.3">
      <c r="A113" s="273"/>
      <c r="B113" s="274"/>
      <c r="C113" s="275"/>
      <c r="D113" s="276"/>
    </row>
    <row r="114" spans="1:5" s="93" customFormat="1" ht="34.5" customHeight="1" x14ac:dyDescent="0.3">
      <c r="A114" s="273"/>
      <c r="B114" s="274" t="s">
        <v>216</v>
      </c>
      <c r="C114" s="275">
        <f>+C65+C86+C103</f>
        <v>2561425.5384799996</v>
      </c>
      <c r="D114" s="276" t="s">
        <v>12</v>
      </c>
    </row>
    <row r="115" spans="1:5" s="93" customFormat="1" x14ac:dyDescent="0.3">
      <c r="A115" s="273"/>
      <c r="B115" s="285" t="s">
        <v>296</v>
      </c>
      <c r="C115" s="627">
        <v>289050</v>
      </c>
      <c r="D115" s="284" t="s">
        <v>81</v>
      </c>
    </row>
    <row r="116" spans="1:5" s="93" customFormat="1" x14ac:dyDescent="0.3">
      <c r="A116" s="273"/>
      <c r="B116" s="285" t="s">
        <v>295</v>
      </c>
      <c r="C116" s="627">
        <v>239850</v>
      </c>
      <c r="D116" s="284" t="s">
        <v>81</v>
      </c>
    </row>
    <row r="117" spans="1:5" s="93" customFormat="1" ht="13.8" customHeight="1" x14ac:dyDescent="0.3">
      <c r="A117" s="273"/>
      <c r="B117" s="274"/>
      <c r="C117" s="275"/>
      <c r="D117" s="276"/>
    </row>
    <row r="118" spans="1:5" s="93" customFormat="1" ht="21" x14ac:dyDescent="0.3">
      <c r="A118" s="273"/>
      <c r="B118" s="274" t="s">
        <v>266</v>
      </c>
      <c r="C118" s="292">
        <f>C114+C115+C116</f>
        <v>3090325.5384799996</v>
      </c>
      <c r="D118" s="293" t="s">
        <v>12</v>
      </c>
    </row>
    <row r="119" spans="1:5" s="93" customFormat="1" ht="21" x14ac:dyDescent="0.3">
      <c r="A119" s="273"/>
      <c r="B119" s="274"/>
      <c r="C119" s="275"/>
      <c r="D119" s="276"/>
    </row>
    <row r="120" spans="1:5" s="93" customFormat="1" ht="34.5" customHeight="1" x14ac:dyDescent="0.3">
      <c r="A120" s="273"/>
      <c r="B120" s="274"/>
      <c r="C120" s="275"/>
      <c r="D120" s="276"/>
    </row>
    <row r="121" spans="1:5" s="93" customFormat="1" ht="19.5" customHeight="1" thickBot="1" x14ac:dyDescent="0.35">
      <c r="B121" s="206"/>
      <c r="C121" s="207"/>
      <c r="D121" s="209"/>
    </row>
    <row r="122" spans="1:5" s="93" customFormat="1" ht="34.5" customHeight="1" thickBot="1" x14ac:dyDescent="0.35">
      <c r="A122" s="615" t="s">
        <v>198</v>
      </c>
      <c r="B122" s="204" t="s">
        <v>199</v>
      </c>
      <c r="C122" s="199"/>
      <c r="D122" s="200"/>
    </row>
    <row r="123" spans="1:5" s="93" customFormat="1" ht="17.7" customHeight="1" x14ac:dyDescent="0.35">
      <c r="A123" s="606"/>
      <c r="B123" s="152" t="s">
        <v>182</v>
      </c>
      <c r="C123" s="153" t="s">
        <v>173</v>
      </c>
      <c r="D123" s="328"/>
      <c r="E123" s="193"/>
    </row>
    <row r="124" spans="1:5" s="93" customFormat="1" ht="16.2" customHeight="1" x14ac:dyDescent="0.3">
      <c r="A124" s="606"/>
      <c r="B124" s="174" t="s">
        <v>160</v>
      </c>
      <c r="C124" s="175">
        <v>3239.48</v>
      </c>
      <c r="D124" s="329" t="s">
        <v>8</v>
      </c>
    </row>
    <row r="125" spans="1:5" s="93" customFormat="1" ht="16.2" customHeight="1" x14ac:dyDescent="0.3">
      <c r="A125" s="606"/>
      <c r="B125" s="174" t="s">
        <v>126</v>
      </c>
      <c r="C125" s="175">
        <v>14.13</v>
      </c>
      <c r="D125" s="329" t="s">
        <v>10</v>
      </c>
    </row>
    <row r="126" spans="1:5" s="93" customFormat="1" ht="16.2" customHeight="1" x14ac:dyDescent="0.3">
      <c r="A126" s="606"/>
      <c r="B126" s="176" t="s">
        <v>11</v>
      </c>
      <c r="C126" s="177">
        <f>C125*C124*12</f>
        <v>549286.22880000004</v>
      </c>
      <c r="D126" s="330" t="s">
        <v>12</v>
      </c>
    </row>
    <row r="127" spans="1:5" s="93" customFormat="1" ht="16.2" customHeight="1" x14ac:dyDescent="0.3">
      <c r="A127" s="606"/>
      <c r="B127" s="174"/>
      <c r="C127" s="175"/>
      <c r="D127" s="329"/>
    </row>
    <row r="128" spans="1:5" s="93" customFormat="1" ht="16.2" customHeight="1" x14ac:dyDescent="0.3">
      <c r="A128" s="606"/>
      <c r="B128" s="174" t="s">
        <v>116</v>
      </c>
      <c r="C128" s="178">
        <v>2.92</v>
      </c>
      <c r="D128" s="329" t="s">
        <v>80</v>
      </c>
    </row>
    <row r="129" spans="1:4" s="93" customFormat="1" ht="16.2" customHeight="1" x14ac:dyDescent="0.3">
      <c r="A129" s="606"/>
      <c r="B129" s="174" t="s">
        <v>116</v>
      </c>
      <c r="C129" s="179">
        <f>C124*$C$128*12</f>
        <v>113511.3792</v>
      </c>
      <c r="D129" s="329" t="s">
        <v>81</v>
      </c>
    </row>
    <row r="130" spans="1:4" s="93" customFormat="1" ht="16.2" customHeight="1" x14ac:dyDescent="0.3">
      <c r="A130" s="606"/>
      <c r="B130" s="174"/>
      <c r="C130" s="179"/>
      <c r="D130" s="329"/>
    </row>
    <row r="131" spans="1:4" s="93" customFormat="1" ht="16.2" customHeight="1" x14ac:dyDescent="0.3">
      <c r="A131" s="606"/>
      <c r="B131" s="174" t="s">
        <v>82</v>
      </c>
      <c r="C131" s="175">
        <v>0.84</v>
      </c>
      <c r="D131" s="329" t="s">
        <v>80</v>
      </c>
    </row>
    <row r="132" spans="1:4" s="93" customFormat="1" ht="16.2" customHeight="1" x14ac:dyDescent="0.3">
      <c r="A132" s="606"/>
      <c r="B132" s="174" t="s">
        <v>82</v>
      </c>
      <c r="C132" s="175">
        <f>C131*C124*12</f>
        <v>32653.9584</v>
      </c>
      <c r="D132" s="329" t="s">
        <v>81</v>
      </c>
    </row>
    <row r="133" spans="1:4" s="93" customFormat="1" ht="16.2" customHeight="1" x14ac:dyDescent="0.3">
      <c r="A133" s="606"/>
      <c r="B133" s="180"/>
      <c r="C133" s="175"/>
      <c r="D133" s="329"/>
    </row>
    <row r="134" spans="1:4" s="93" customFormat="1" ht="16.2" customHeight="1" x14ac:dyDescent="0.3">
      <c r="A134" s="606"/>
      <c r="B134" s="176" t="s">
        <v>180</v>
      </c>
      <c r="C134" s="181">
        <f>C126+C129+C132</f>
        <v>695451.56640000001</v>
      </c>
      <c r="D134" s="330" t="s">
        <v>175</v>
      </c>
    </row>
    <row r="135" spans="1:4" s="93" customFormat="1" ht="16.2" customHeight="1" x14ac:dyDescent="0.3">
      <c r="A135" s="606"/>
      <c r="B135" s="174"/>
      <c r="C135" s="175"/>
      <c r="D135" s="329"/>
    </row>
    <row r="136" spans="1:4" s="93" customFormat="1" ht="16.2" customHeight="1" thickBot="1" x14ac:dyDescent="0.35">
      <c r="A136" s="606"/>
      <c r="B136" s="174" t="s">
        <v>183</v>
      </c>
      <c r="C136" s="175" t="s">
        <v>173</v>
      </c>
      <c r="D136" s="329"/>
    </row>
    <row r="137" spans="1:4" s="93" customFormat="1" ht="14.7" customHeight="1" x14ac:dyDescent="0.35">
      <c r="A137" s="606"/>
      <c r="B137" s="152" t="s">
        <v>183</v>
      </c>
      <c r="C137" s="153" t="s">
        <v>173</v>
      </c>
      <c r="D137" s="328"/>
    </row>
    <row r="138" spans="1:4" s="93" customFormat="1" ht="14.7" customHeight="1" x14ac:dyDescent="0.3">
      <c r="A138" s="606"/>
      <c r="B138" s="174" t="s">
        <v>184</v>
      </c>
      <c r="C138" s="175">
        <v>2426</v>
      </c>
      <c r="D138" s="329" t="s">
        <v>8</v>
      </c>
    </row>
    <row r="139" spans="1:4" s="93" customFormat="1" ht="14.7" customHeight="1" x14ac:dyDescent="0.3">
      <c r="A139" s="606"/>
      <c r="B139" s="174" t="s">
        <v>20</v>
      </c>
      <c r="C139" s="175">
        <v>2.92</v>
      </c>
      <c r="D139" s="329" t="s">
        <v>80</v>
      </c>
    </row>
    <row r="140" spans="1:4" s="93" customFormat="1" ht="14.7" customHeight="1" x14ac:dyDescent="0.3">
      <c r="A140" s="606"/>
      <c r="B140" s="174" t="s">
        <v>20</v>
      </c>
      <c r="C140" s="175">
        <f>C139*C138*12</f>
        <v>85007.040000000008</v>
      </c>
      <c r="D140" s="329" t="s">
        <v>81</v>
      </c>
    </row>
    <row r="141" spans="1:4" s="93" customFormat="1" ht="14.7" customHeight="1" x14ac:dyDescent="0.3">
      <c r="A141" s="606"/>
      <c r="B141" s="174" t="s">
        <v>82</v>
      </c>
      <c r="C141" s="175">
        <v>1.03</v>
      </c>
      <c r="D141" s="329" t="s">
        <v>80</v>
      </c>
    </row>
    <row r="142" spans="1:4" s="93" customFormat="1" ht="14.7" customHeight="1" x14ac:dyDescent="0.3">
      <c r="A142" s="606"/>
      <c r="B142" s="174" t="s">
        <v>82</v>
      </c>
      <c r="C142" s="175">
        <f>C141*C138*12</f>
        <v>29985.360000000001</v>
      </c>
      <c r="D142" s="329" t="s">
        <v>81</v>
      </c>
    </row>
    <row r="143" spans="1:4" s="93" customFormat="1" ht="14.7" customHeight="1" x14ac:dyDescent="0.3">
      <c r="A143" s="606"/>
      <c r="B143" s="191"/>
      <c r="C143" s="192"/>
      <c r="D143" s="329"/>
    </row>
    <row r="144" spans="1:4" s="93" customFormat="1" ht="14.7" customHeight="1" x14ac:dyDescent="0.3">
      <c r="A144" s="606"/>
      <c r="B144" s="174" t="s">
        <v>139</v>
      </c>
      <c r="C144" s="175">
        <v>3041.3</v>
      </c>
      <c r="D144" s="329" t="s">
        <v>81</v>
      </c>
    </row>
    <row r="145" spans="1:4" s="93" customFormat="1" ht="14.7" customHeight="1" x14ac:dyDescent="0.3">
      <c r="A145" s="606"/>
      <c r="B145" s="174" t="s">
        <v>120</v>
      </c>
      <c r="C145" s="175">
        <v>15877.37</v>
      </c>
      <c r="D145" s="329" t="s">
        <v>12</v>
      </c>
    </row>
    <row r="146" spans="1:4" s="93" customFormat="1" ht="14.7" customHeight="1" x14ac:dyDescent="0.3">
      <c r="A146" s="606"/>
      <c r="B146" s="174"/>
      <c r="C146" s="182"/>
      <c r="D146" s="329"/>
    </row>
    <row r="147" spans="1:4" s="93" customFormat="1" ht="14.7" customHeight="1" x14ac:dyDescent="0.3">
      <c r="A147" s="606"/>
      <c r="B147" s="176" t="s">
        <v>185</v>
      </c>
      <c r="C147" s="177">
        <f>C140+C142+C144+C145</f>
        <v>133911.07</v>
      </c>
      <c r="D147" s="330" t="s">
        <v>175</v>
      </c>
    </row>
    <row r="148" spans="1:4" s="93" customFormat="1" ht="14.7" customHeight="1" x14ac:dyDescent="0.3">
      <c r="A148" s="606"/>
      <c r="B148" s="174"/>
      <c r="C148" s="183"/>
      <c r="D148" s="329"/>
    </row>
    <row r="149" spans="1:4" s="93" customFormat="1" ht="14.7" customHeight="1" x14ac:dyDescent="0.3">
      <c r="A149" s="606"/>
      <c r="B149" s="321"/>
      <c r="C149" s="322"/>
      <c r="D149" s="331"/>
    </row>
    <row r="150" spans="1:4" s="93" customFormat="1" ht="39.450000000000003" customHeight="1" x14ac:dyDescent="0.3">
      <c r="A150" s="332"/>
      <c r="B150" s="323" t="s">
        <v>219</v>
      </c>
      <c r="C150" s="324">
        <f>C134+C147+C143</f>
        <v>829362.63639999996</v>
      </c>
      <c r="D150" s="333" t="s">
        <v>12</v>
      </c>
    </row>
    <row r="151" spans="1:4" s="93" customFormat="1" x14ac:dyDescent="0.3">
      <c r="A151" s="332"/>
      <c r="B151" s="325" t="s">
        <v>238</v>
      </c>
      <c r="C151" s="326">
        <f>1800000/15</f>
        <v>120000</v>
      </c>
      <c r="D151" s="334" t="s">
        <v>81</v>
      </c>
    </row>
    <row r="152" spans="1:4" s="93" customFormat="1" ht="21" x14ac:dyDescent="0.3">
      <c r="A152" s="332"/>
      <c r="B152" s="327"/>
      <c r="C152" s="250"/>
      <c r="D152" s="335"/>
    </row>
    <row r="153" spans="1:4" s="93" customFormat="1" ht="21" x14ac:dyDescent="0.3">
      <c r="A153" s="332"/>
      <c r="B153" s="327" t="s">
        <v>267</v>
      </c>
      <c r="C153" s="250">
        <f>C150+C151</f>
        <v>949362.63639999996</v>
      </c>
      <c r="D153" s="335" t="s">
        <v>12</v>
      </c>
    </row>
    <row r="154" spans="1:4" s="93" customFormat="1" ht="21" x14ac:dyDescent="0.3">
      <c r="A154" s="332"/>
      <c r="B154" s="327"/>
      <c r="C154" s="250"/>
      <c r="D154" s="335"/>
    </row>
    <row r="155" spans="1:4" s="93" customFormat="1" ht="21.6" thickBot="1" x14ac:dyDescent="0.35">
      <c r="A155" s="336"/>
      <c r="B155" s="201"/>
      <c r="C155" s="202"/>
      <c r="D155" s="203"/>
    </row>
    <row r="156" spans="1:4" s="93" customFormat="1" ht="17.7" customHeight="1" thickBot="1" x14ac:dyDescent="0.35">
      <c r="A156" s="205"/>
      <c r="B156" s="206"/>
      <c r="C156" s="207"/>
      <c r="D156" s="208"/>
    </row>
    <row r="157" spans="1:4" s="93" customFormat="1" ht="49.2" customHeight="1" thickTop="1" thickBot="1" x14ac:dyDescent="0.35">
      <c r="A157" s="586" t="s">
        <v>224</v>
      </c>
      <c r="B157" s="589" t="s">
        <v>177</v>
      </c>
      <c r="C157" s="589"/>
      <c r="D157" s="155"/>
    </row>
    <row r="158" spans="1:4" s="93" customFormat="1" ht="22.5" customHeight="1" x14ac:dyDescent="0.35">
      <c r="A158" s="587"/>
      <c r="B158" s="152" t="s">
        <v>178</v>
      </c>
      <c r="C158" s="153" t="s">
        <v>173</v>
      </c>
      <c r="D158" s="154"/>
    </row>
    <row r="159" spans="1:4" s="93" customFormat="1" ht="24.45" customHeight="1" x14ac:dyDescent="0.3">
      <c r="A159" s="587"/>
      <c r="B159" s="156" t="s">
        <v>179</v>
      </c>
      <c r="C159" s="157">
        <v>1633</v>
      </c>
      <c r="D159" s="158" t="s">
        <v>8</v>
      </c>
    </row>
    <row r="160" spans="1:4" s="93" customFormat="1" ht="22.2" customHeight="1" x14ac:dyDescent="0.3">
      <c r="A160" s="587"/>
      <c r="B160" s="156" t="s">
        <v>126</v>
      </c>
      <c r="C160" s="157">
        <v>24.28</v>
      </c>
      <c r="D160" s="158" t="s">
        <v>10</v>
      </c>
    </row>
    <row r="161" spans="1:4" s="93" customFormat="1" ht="22.5" customHeight="1" x14ac:dyDescent="0.3">
      <c r="A161" s="587"/>
      <c r="B161" s="159" t="s">
        <v>11</v>
      </c>
      <c r="C161" s="160">
        <f>C160*C159*12</f>
        <v>475790.88000000006</v>
      </c>
      <c r="D161" s="161" t="s">
        <v>175</v>
      </c>
    </row>
    <row r="162" spans="1:4" s="93" customFormat="1" ht="25.95" customHeight="1" x14ac:dyDescent="0.3">
      <c r="A162" s="587"/>
      <c r="B162" s="162"/>
      <c r="C162" s="163"/>
      <c r="D162" s="158"/>
    </row>
    <row r="163" spans="1:4" s="93" customFormat="1" ht="24" customHeight="1" x14ac:dyDescent="0.3">
      <c r="A163" s="587"/>
      <c r="B163" s="156" t="s">
        <v>116</v>
      </c>
      <c r="C163" s="164">
        <v>3.9169999999999998</v>
      </c>
      <c r="D163" s="158" t="s">
        <v>80</v>
      </c>
    </row>
    <row r="164" spans="1:4" s="93" customFormat="1" ht="25.95" customHeight="1" x14ac:dyDescent="0.3">
      <c r="A164" s="587"/>
      <c r="B164" s="156" t="s">
        <v>116</v>
      </c>
      <c r="C164" s="157">
        <f>C163*$C$159*12</f>
        <v>76757.531999999992</v>
      </c>
      <c r="D164" s="158" t="s">
        <v>81</v>
      </c>
    </row>
    <row r="165" spans="1:4" s="93" customFormat="1" ht="17.7" customHeight="1" x14ac:dyDescent="0.3">
      <c r="A165" s="587"/>
      <c r="B165" s="156"/>
      <c r="C165" s="165"/>
      <c r="D165" s="158"/>
    </row>
    <row r="166" spans="1:4" s="93" customFormat="1" ht="25.95" customHeight="1" x14ac:dyDescent="0.3">
      <c r="A166" s="587"/>
      <c r="B166" s="156" t="s">
        <v>82</v>
      </c>
      <c r="C166" s="163">
        <v>0.22600000000000001</v>
      </c>
      <c r="D166" s="158" t="s">
        <v>80</v>
      </c>
    </row>
    <row r="167" spans="1:4" s="93" customFormat="1" ht="24" customHeight="1" x14ac:dyDescent="0.3">
      <c r="A167" s="587"/>
      <c r="B167" s="156" t="s">
        <v>82</v>
      </c>
      <c r="C167" s="163">
        <f>C166*$C$159*12</f>
        <v>4428.6959999999999</v>
      </c>
      <c r="D167" s="158" t="s">
        <v>81</v>
      </c>
    </row>
    <row r="168" spans="1:4" s="93" customFormat="1" ht="21" customHeight="1" x14ac:dyDescent="0.3">
      <c r="A168" s="587"/>
      <c r="B168" s="156"/>
      <c r="C168" s="166"/>
      <c r="D168" s="158"/>
    </row>
    <row r="169" spans="1:4" s="93" customFormat="1" ht="27" customHeight="1" x14ac:dyDescent="0.3">
      <c r="A169" s="587"/>
      <c r="B169" s="159" t="s">
        <v>180</v>
      </c>
      <c r="C169" s="160">
        <f>C161+C164+C167</f>
        <v>556977.10800000001</v>
      </c>
      <c r="D169" s="161" t="s">
        <v>175</v>
      </c>
    </row>
    <row r="170" spans="1:4" s="93" customFormat="1" ht="25.95" customHeight="1" x14ac:dyDescent="0.3">
      <c r="A170" s="587"/>
      <c r="B170" s="162"/>
      <c r="C170" s="167"/>
      <c r="D170" s="158"/>
    </row>
    <row r="171" spans="1:4" s="93" customFormat="1" ht="25.95" customHeight="1" thickBot="1" x14ac:dyDescent="0.35">
      <c r="A171" s="587"/>
      <c r="B171" s="168"/>
      <c r="C171" s="169"/>
      <c r="D171" s="170"/>
    </row>
    <row r="172" spans="1:4" s="93" customFormat="1" ht="30.45" customHeight="1" thickBot="1" x14ac:dyDescent="0.35">
      <c r="A172" s="588"/>
      <c r="B172" s="337" t="s">
        <v>220</v>
      </c>
      <c r="C172" s="338">
        <f>C169</f>
        <v>556977.10800000001</v>
      </c>
      <c r="D172" s="339" t="s">
        <v>175</v>
      </c>
    </row>
    <row r="173" spans="1:4" s="93" customFormat="1" ht="15" thickTop="1" thickBot="1" x14ac:dyDescent="0.35">
      <c r="A173" s="616"/>
      <c r="B173" s="616"/>
      <c r="C173" s="616"/>
      <c r="D173" s="616"/>
    </row>
    <row r="174" spans="1:4" s="93" customFormat="1" ht="90.75" customHeight="1" thickTop="1" thickBot="1" x14ac:dyDescent="0.35">
      <c r="A174" s="595" t="s">
        <v>169</v>
      </c>
      <c r="B174" s="596"/>
      <c r="C174" s="596"/>
      <c r="D174" s="597"/>
    </row>
    <row r="175" spans="1:4" ht="43.5" customHeight="1" thickTop="1" thickBot="1" x14ac:dyDescent="0.35">
      <c r="A175" s="598" t="s">
        <v>148</v>
      </c>
      <c r="B175" s="56" t="s">
        <v>170</v>
      </c>
      <c r="C175" s="57"/>
      <c r="D175" s="58"/>
    </row>
    <row r="176" spans="1:4" x14ac:dyDescent="0.3">
      <c r="A176" s="617"/>
      <c r="B176" s="94"/>
      <c r="C176" s="95"/>
      <c r="D176" s="96"/>
    </row>
    <row r="177" spans="1:7" x14ac:dyDescent="0.3">
      <c r="A177" s="617"/>
      <c r="B177" s="61" t="s">
        <v>22</v>
      </c>
      <c r="C177" s="65">
        <v>456</v>
      </c>
      <c r="D177" s="63" t="s">
        <v>23</v>
      </c>
      <c r="E177" s="97"/>
      <c r="F177" s="98"/>
    </row>
    <row r="178" spans="1:7" x14ac:dyDescent="0.3">
      <c r="A178" s="617"/>
      <c r="B178" s="61" t="s">
        <v>24</v>
      </c>
      <c r="C178" s="65">
        <v>7300</v>
      </c>
      <c r="D178" s="63" t="s">
        <v>8</v>
      </c>
    </row>
    <row r="179" spans="1:7" x14ac:dyDescent="0.3">
      <c r="A179" s="617"/>
      <c r="B179" s="61" t="s">
        <v>98</v>
      </c>
      <c r="C179" s="65"/>
      <c r="D179" s="63" t="s">
        <v>8</v>
      </c>
    </row>
    <row r="180" spans="1:7" x14ac:dyDescent="0.3">
      <c r="A180" s="617"/>
      <c r="B180" s="61" t="s">
        <v>99</v>
      </c>
      <c r="C180" s="65">
        <f>C178+C179</f>
        <v>7300</v>
      </c>
      <c r="D180" s="63" t="s">
        <v>8</v>
      </c>
    </row>
    <row r="181" spans="1:7" x14ac:dyDescent="0.3">
      <c r="A181" s="617"/>
      <c r="B181" s="61"/>
      <c r="C181" s="65"/>
      <c r="D181" s="63"/>
    </row>
    <row r="182" spans="1:7" x14ac:dyDescent="0.3">
      <c r="A182" s="617"/>
      <c r="B182" s="61"/>
      <c r="C182" s="99"/>
      <c r="D182" s="63"/>
      <c r="E182" s="51" t="s">
        <v>140</v>
      </c>
      <c r="F182" s="51" t="s">
        <v>141</v>
      </c>
      <c r="G182" s="51" t="s">
        <v>142</v>
      </c>
    </row>
    <row r="183" spans="1:7" x14ac:dyDescent="0.3">
      <c r="A183" s="617"/>
      <c r="B183" s="61" t="s">
        <v>100</v>
      </c>
      <c r="C183" s="100"/>
      <c r="D183" s="63"/>
      <c r="E183" s="101">
        <v>18.73</v>
      </c>
      <c r="F183" s="101">
        <v>18.73</v>
      </c>
      <c r="G183" s="101">
        <v>18.73</v>
      </c>
    </row>
    <row r="184" spans="1:7" x14ac:dyDescent="0.3">
      <c r="A184" s="617"/>
      <c r="B184" s="61" t="s">
        <v>11</v>
      </c>
      <c r="C184" s="100">
        <f>$C178*C183*12</f>
        <v>0</v>
      </c>
      <c r="D184" s="63"/>
      <c r="E184" s="102">
        <f>$C178*E183*12</f>
        <v>1640748</v>
      </c>
      <c r="F184" s="102">
        <f>$C178*F183*12</f>
        <v>1640748</v>
      </c>
      <c r="G184" s="102">
        <f>$C178*G183*12</f>
        <v>1640748</v>
      </c>
    </row>
    <row r="185" spans="1:7" x14ac:dyDescent="0.3">
      <c r="A185" s="617"/>
      <c r="B185" s="61"/>
      <c r="C185" s="65"/>
      <c r="D185" s="63"/>
    </row>
    <row r="186" spans="1:7" x14ac:dyDescent="0.3">
      <c r="A186" s="617"/>
      <c r="B186" s="61" t="s">
        <v>25</v>
      </c>
      <c r="C186" s="65">
        <v>0</v>
      </c>
      <c r="D186" s="63" t="s">
        <v>10</v>
      </c>
      <c r="E186" s="52" t="s">
        <v>101</v>
      </c>
      <c r="F186" s="52"/>
    </row>
    <row r="187" spans="1:7" x14ac:dyDescent="0.3">
      <c r="A187" s="617"/>
      <c r="B187" s="61"/>
      <c r="C187" s="103"/>
      <c r="D187" s="63"/>
    </row>
    <row r="188" spans="1:7" x14ac:dyDescent="0.3">
      <c r="A188" s="617"/>
      <c r="B188" s="66" t="s">
        <v>19</v>
      </c>
      <c r="C188" s="65"/>
      <c r="D188" s="63"/>
    </row>
    <row r="189" spans="1:7" x14ac:dyDescent="0.3">
      <c r="A189" s="617"/>
      <c r="B189" s="61" t="s">
        <v>26</v>
      </c>
      <c r="C189" s="104"/>
      <c r="D189" s="63"/>
    </row>
    <row r="190" spans="1:7" x14ac:dyDescent="0.3">
      <c r="A190" s="617"/>
      <c r="B190" s="61" t="s">
        <v>20</v>
      </c>
      <c r="C190" s="65">
        <v>1.91</v>
      </c>
      <c r="D190" s="63" t="s">
        <v>80</v>
      </c>
      <c r="F190" s="105"/>
    </row>
    <row r="191" spans="1:7" x14ac:dyDescent="0.3">
      <c r="A191" s="617"/>
      <c r="B191" s="61" t="s">
        <v>20</v>
      </c>
      <c r="C191" s="65">
        <f>C190*C180*12</f>
        <v>167316</v>
      </c>
      <c r="D191" s="63" t="s">
        <v>81</v>
      </c>
    </row>
    <row r="192" spans="1:7" x14ac:dyDescent="0.3">
      <c r="A192" s="617"/>
      <c r="B192" s="61" t="s">
        <v>82</v>
      </c>
      <c r="C192" s="65">
        <v>4.18</v>
      </c>
      <c r="D192" s="63" t="s">
        <v>80</v>
      </c>
    </row>
    <row r="193" spans="1:26" x14ac:dyDescent="0.3">
      <c r="A193" s="617"/>
      <c r="B193" s="61" t="s">
        <v>82</v>
      </c>
      <c r="C193" s="65">
        <f>C192*C180*12</f>
        <v>366167.99999999994</v>
      </c>
      <c r="D193" s="63" t="s">
        <v>81</v>
      </c>
    </row>
    <row r="194" spans="1:26" x14ac:dyDescent="0.3">
      <c r="A194" s="617"/>
      <c r="B194" s="61" t="s">
        <v>83</v>
      </c>
      <c r="C194" s="65"/>
      <c r="D194" s="63" t="s">
        <v>80</v>
      </c>
    </row>
    <row r="195" spans="1:26" x14ac:dyDescent="0.3">
      <c r="A195" s="617"/>
      <c r="B195" s="61" t="s">
        <v>83</v>
      </c>
      <c r="C195" s="65">
        <f>C194*C180*12</f>
        <v>0</v>
      </c>
      <c r="D195" s="63" t="s">
        <v>81</v>
      </c>
    </row>
    <row r="196" spans="1:26" x14ac:dyDescent="0.3">
      <c r="A196" s="617"/>
      <c r="B196" s="61" t="s">
        <v>21</v>
      </c>
      <c r="C196" s="65">
        <f>C193+C195</f>
        <v>366167.99999999994</v>
      </c>
      <c r="D196" s="63" t="s">
        <v>12</v>
      </c>
    </row>
    <row r="197" spans="1:26" x14ac:dyDescent="0.3">
      <c r="A197" s="617"/>
      <c r="B197" s="61"/>
      <c r="C197" s="65"/>
      <c r="D197" s="63"/>
    </row>
    <row r="198" spans="1:26" ht="14.4" x14ac:dyDescent="0.3">
      <c r="A198" s="617"/>
      <c r="B198" s="66" t="s">
        <v>27</v>
      </c>
      <c r="C198" s="106"/>
      <c r="D198" s="63"/>
    </row>
    <row r="199" spans="1:26" x14ac:dyDescent="0.3">
      <c r="A199" s="617"/>
      <c r="B199" s="61" t="s">
        <v>28</v>
      </c>
      <c r="C199" s="107"/>
      <c r="D199" s="63"/>
    </row>
    <row r="200" spans="1:26" x14ac:dyDescent="0.3">
      <c r="A200" s="617"/>
      <c r="B200" s="61" t="s">
        <v>29</v>
      </c>
      <c r="C200" s="107"/>
      <c r="D200" s="63"/>
    </row>
    <row r="201" spans="1:26" x14ac:dyDescent="0.3">
      <c r="A201" s="617"/>
      <c r="B201" s="61" t="s">
        <v>30</v>
      </c>
      <c r="C201" s="103"/>
      <c r="D201" s="63"/>
      <c r="M201" s="108" t="s">
        <v>86</v>
      </c>
      <c r="N201" s="109" t="s">
        <v>88</v>
      </c>
      <c r="O201" s="109" t="s">
        <v>89</v>
      </c>
      <c r="P201" s="110">
        <v>1.9131944444444444</v>
      </c>
      <c r="Q201" s="110">
        <v>2.3229166666666665</v>
      </c>
      <c r="R201" s="110">
        <v>2.5277777777777777</v>
      </c>
      <c r="T201" s="108" t="s">
        <v>91</v>
      </c>
      <c r="U201" s="109" t="s">
        <v>95</v>
      </c>
      <c r="V201" s="109" t="s">
        <v>92</v>
      </c>
      <c r="W201" s="109" t="s">
        <v>93</v>
      </c>
      <c r="X201" s="109" t="s">
        <v>96</v>
      </c>
      <c r="Y201" s="109" t="s">
        <v>97</v>
      </c>
      <c r="Z201" s="109" t="s">
        <v>94</v>
      </c>
    </row>
    <row r="202" spans="1:26" x14ac:dyDescent="0.3">
      <c r="A202" s="617"/>
      <c r="B202" s="61" t="s">
        <v>31</v>
      </c>
      <c r="C202" s="103"/>
      <c r="D202" s="63"/>
      <c r="M202" s="108" t="s">
        <v>87</v>
      </c>
      <c r="N202" s="109">
        <v>0.8</v>
      </c>
      <c r="O202" s="109">
        <v>1</v>
      </c>
      <c r="P202" s="109">
        <v>1.2</v>
      </c>
      <c r="Q202" s="109">
        <v>1.3</v>
      </c>
      <c r="R202" s="109">
        <v>1.4</v>
      </c>
      <c r="T202" s="108" t="s">
        <v>90</v>
      </c>
      <c r="U202" s="109">
        <v>0.05</v>
      </c>
      <c r="V202" s="109">
        <v>0.3</v>
      </c>
      <c r="W202" s="109">
        <v>0.8</v>
      </c>
      <c r="X202" s="109">
        <v>0.6</v>
      </c>
      <c r="Y202" s="109">
        <v>0.7</v>
      </c>
      <c r="Z202" s="109">
        <v>1</v>
      </c>
    </row>
    <row r="203" spans="1:26" ht="12" customHeight="1" x14ac:dyDescent="0.3">
      <c r="A203" s="617"/>
      <c r="B203" s="61"/>
      <c r="C203" s="103"/>
      <c r="D203" s="63"/>
    </row>
    <row r="204" spans="1:26" ht="12" customHeight="1" x14ac:dyDescent="0.3">
      <c r="A204" s="617"/>
      <c r="B204" s="66" t="s">
        <v>13</v>
      </c>
      <c r="C204" s="65"/>
      <c r="D204" s="63"/>
    </row>
    <row r="205" spans="1:26" ht="12" customHeight="1" x14ac:dyDescent="0.3">
      <c r="A205" s="617"/>
      <c r="B205" s="61" t="s">
        <v>14</v>
      </c>
      <c r="C205" s="65">
        <v>172.2</v>
      </c>
      <c r="D205" s="63" t="s">
        <v>15</v>
      </c>
    </row>
    <row r="206" spans="1:26" ht="12" customHeight="1" x14ac:dyDescent="0.3">
      <c r="A206" s="617"/>
      <c r="B206" s="61" t="s">
        <v>16</v>
      </c>
      <c r="C206" s="65">
        <v>90</v>
      </c>
      <c r="D206" s="63" t="s">
        <v>17</v>
      </c>
    </row>
    <row r="207" spans="1:26" x14ac:dyDescent="0.3">
      <c r="A207" s="617"/>
      <c r="B207" s="61" t="s">
        <v>18</v>
      </c>
      <c r="C207" s="65">
        <f>C205*C206*12</f>
        <v>185975.99999999997</v>
      </c>
      <c r="D207" s="63" t="s">
        <v>12</v>
      </c>
    </row>
    <row r="208" spans="1:26" x14ac:dyDescent="0.3">
      <c r="A208" s="617"/>
      <c r="B208" s="61"/>
      <c r="C208" s="65"/>
      <c r="D208" s="63"/>
    </row>
    <row r="209" spans="1:20" x14ac:dyDescent="0.3">
      <c r="A209" s="617"/>
      <c r="B209" s="66" t="s">
        <v>68</v>
      </c>
      <c r="C209" s="70"/>
      <c r="D209" s="63"/>
    </row>
    <row r="210" spans="1:20" ht="14.4" thickBot="1" x14ac:dyDescent="0.35">
      <c r="A210" s="617"/>
      <c r="B210" s="71" t="s">
        <v>85</v>
      </c>
      <c r="C210" s="72"/>
      <c r="D210" s="73" t="s">
        <v>12</v>
      </c>
    </row>
    <row r="211" spans="1:20" ht="34.950000000000003" customHeight="1" x14ac:dyDescent="0.3">
      <c r="A211" s="617"/>
      <c r="B211" s="75" t="s">
        <v>221</v>
      </c>
      <c r="C211" s="111">
        <f>E184+C191+C193+C207</f>
        <v>2360208</v>
      </c>
      <c r="D211" s="112" t="s">
        <v>12</v>
      </c>
    </row>
    <row r="212" spans="1:20" ht="21" customHeight="1" x14ac:dyDescent="0.3">
      <c r="A212" s="600"/>
      <c r="B212" s="601"/>
      <c r="C212" s="601"/>
      <c r="D212" s="602"/>
      <c r="N212" s="55"/>
      <c r="O212" s="55"/>
      <c r="P212" s="55"/>
      <c r="Q212" s="55"/>
      <c r="R212" s="55"/>
      <c r="S212" s="55"/>
      <c r="T212" s="55"/>
    </row>
    <row r="213" spans="1:20" ht="36" thickBot="1" x14ac:dyDescent="0.35">
      <c r="A213" s="603" t="s">
        <v>227</v>
      </c>
      <c r="B213" s="47" t="s">
        <v>159</v>
      </c>
      <c r="C213" s="76"/>
      <c r="D213" s="77"/>
    </row>
    <row r="214" spans="1:20" x14ac:dyDescent="0.3">
      <c r="A214" s="603"/>
      <c r="B214" s="113"/>
      <c r="C214" s="114"/>
      <c r="D214" s="115"/>
    </row>
    <row r="215" spans="1:20" x14ac:dyDescent="0.3">
      <c r="A215" s="603"/>
      <c r="B215" s="78" t="s">
        <v>22</v>
      </c>
      <c r="C215" s="79">
        <v>654</v>
      </c>
      <c r="D215" s="80" t="s">
        <v>23</v>
      </c>
    </row>
    <row r="216" spans="1:20" x14ac:dyDescent="0.3">
      <c r="A216" s="603"/>
      <c r="B216" s="78" t="s">
        <v>24</v>
      </c>
      <c r="C216" s="79">
        <v>10400</v>
      </c>
      <c r="D216" s="80" t="s">
        <v>8</v>
      </c>
    </row>
    <row r="217" spans="1:20" x14ac:dyDescent="0.3">
      <c r="A217" s="603"/>
      <c r="B217" s="78" t="s">
        <v>156</v>
      </c>
      <c r="C217" s="79">
        <v>200</v>
      </c>
      <c r="D217" s="80" t="s">
        <v>8</v>
      </c>
    </row>
    <row r="218" spans="1:20" x14ac:dyDescent="0.3">
      <c r="A218" s="603"/>
      <c r="B218" s="78" t="s">
        <v>99</v>
      </c>
      <c r="C218" s="79">
        <f>C216+C217</f>
        <v>10600</v>
      </c>
      <c r="D218" s="80" t="s">
        <v>8</v>
      </c>
    </row>
    <row r="219" spans="1:20" x14ac:dyDescent="0.3">
      <c r="A219" s="603"/>
      <c r="B219" s="78"/>
      <c r="C219" s="79"/>
      <c r="D219" s="80"/>
    </row>
    <row r="220" spans="1:20" x14ac:dyDescent="0.3">
      <c r="A220" s="603"/>
      <c r="B220" s="78"/>
      <c r="C220" s="116"/>
      <c r="D220" s="80"/>
      <c r="E220" s="51" t="s">
        <v>140</v>
      </c>
      <c r="F220" s="51" t="s">
        <v>141</v>
      </c>
      <c r="G220" s="51" t="s">
        <v>142</v>
      </c>
    </row>
    <row r="221" spans="1:20" x14ac:dyDescent="0.3">
      <c r="A221" s="603"/>
      <c r="B221" s="78" t="s">
        <v>100</v>
      </c>
      <c r="C221" s="117"/>
      <c r="D221" s="80"/>
      <c r="E221" s="118">
        <v>16.95</v>
      </c>
      <c r="F221" s="118">
        <v>16.95</v>
      </c>
      <c r="G221" s="118">
        <v>16.95</v>
      </c>
    </row>
    <row r="222" spans="1:20" x14ac:dyDescent="0.3">
      <c r="A222" s="603"/>
      <c r="B222" s="78" t="s">
        <v>11</v>
      </c>
      <c r="C222" s="79">
        <f>C218*C221*12</f>
        <v>0</v>
      </c>
      <c r="D222" s="80"/>
      <c r="E222" s="102">
        <f>$C216*E221*12</f>
        <v>2115360</v>
      </c>
      <c r="F222" s="102">
        <f>$C216*F221*12</f>
        <v>2115360</v>
      </c>
      <c r="G222" s="102">
        <f>$C216*G221*12</f>
        <v>2115360</v>
      </c>
    </row>
    <row r="223" spans="1:20" x14ac:dyDescent="0.3">
      <c r="A223" s="603"/>
      <c r="B223" s="78"/>
      <c r="C223" s="79"/>
      <c r="D223" s="80"/>
    </row>
    <row r="224" spans="1:20" x14ac:dyDescent="0.3">
      <c r="A224" s="603"/>
      <c r="B224" s="78" t="s">
        <v>25</v>
      </c>
      <c r="C224" s="79">
        <v>0</v>
      </c>
      <c r="D224" s="80" t="s">
        <v>10</v>
      </c>
      <c r="E224" s="52" t="s">
        <v>101</v>
      </c>
      <c r="F224" s="52"/>
    </row>
    <row r="225" spans="1:4" x14ac:dyDescent="0.3">
      <c r="A225" s="603"/>
      <c r="B225" s="78"/>
      <c r="C225" s="119"/>
      <c r="D225" s="80"/>
    </row>
    <row r="226" spans="1:4" x14ac:dyDescent="0.3">
      <c r="A226" s="603"/>
      <c r="B226" s="83" t="s">
        <v>19</v>
      </c>
      <c r="C226" s="79"/>
      <c r="D226" s="80"/>
    </row>
    <row r="227" spans="1:4" x14ac:dyDescent="0.3">
      <c r="A227" s="603"/>
      <c r="B227" s="78" t="s">
        <v>26</v>
      </c>
      <c r="C227" s="120"/>
      <c r="D227" s="80"/>
    </row>
    <row r="228" spans="1:4" x14ac:dyDescent="0.3">
      <c r="A228" s="603"/>
      <c r="B228" s="78" t="s">
        <v>20</v>
      </c>
      <c r="C228" s="79">
        <v>1</v>
      </c>
      <c r="D228" s="80" t="s">
        <v>80</v>
      </c>
    </row>
    <row r="229" spans="1:4" x14ac:dyDescent="0.3">
      <c r="A229" s="603"/>
      <c r="B229" s="78" t="s">
        <v>20</v>
      </c>
      <c r="C229" s="79">
        <f>C228*C218*12</f>
        <v>127200</v>
      </c>
      <c r="D229" s="80" t="s">
        <v>81</v>
      </c>
    </row>
    <row r="230" spans="1:4" x14ac:dyDescent="0.3">
      <c r="A230" s="603"/>
      <c r="B230" s="78" t="s">
        <v>82</v>
      </c>
      <c r="C230" s="79">
        <v>4.5</v>
      </c>
      <c r="D230" s="80" t="s">
        <v>80</v>
      </c>
    </row>
    <row r="231" spans="1:4" x14ac:dyDescent="0.3">
      <c r="A231" s="603"/>
      <c r="B231" s="78" t="s">
        <v>82</v>
      </c>
      <c r="C231" s="79">
        <f>C230*C218*12</f>
        <v>572400</v>
      </c>
      <c r="D231" s="80" t="s">
        <v>81</v>
      </c>
    </row>
    <row r="232" spans="1:4" x14ac:dyDescent="0.3">
      <c r="A232" s="603"/>
      <c r="B232" s="78" t="s">
        <v>83</v>
      </c>
      <c r="C232" s="79"/>
      <c r="D232" s="80" t="s">
        <v>80</v>
      </c>
    </row>
    <row r="233" spans="1:4" x14ac:dyDescent="0.3">
      <c r="A233" s="603"/>
      <c r="B233" s="78" t="s">
        <v>83</v>
      </c>
      <c r="C233" s="79">
        <f>C232*C218*12</f>
        <v>0</v>
      </c>
      <c r="D233" s="80" t="s">
        <v>81</v>
      </c>
    </row>
    <row r="234" spans="1:4" x14ac:dyDescent="0.3">
      <c r="A234" s="603"/>
      <c r="B234" s="78" t="s">
        <v>21</v>
      </c>
      <c r="C234" s="79">
        <f>C231+C233</f>
        <v>572400</v>
      </c>
      <c r="D234" s="80" t="s">
        <v>12</v>
      </c>
    </row>
    <row r="235" spans="1:4" x14ac:dyDescent="0.3">
      <c r="A235" s="603"/>
      <c r="B235" s="78"/>
      <c r="C235" s="79"/>
      <c r="D235" s="80"/>
    </row>
    <row r="236" spans="1:4" ht="14.4" x14ac:dyDescent="0.3">
      <c r="A236" s="603"/>
      <c r="B236" s="83" t="s">
        <v>27</v>
      </c>
      <c r="C236" s="121"/>
      <c r="D236" s="80"/>
    </row>
    <row r="237" spans="1:4" x14ac:dyDescent="0.3">
      <c r="A237" s="603"/>
      <c r="B237" s="78" t="s">
        <v>28</v>
      </c>
      <c r="C237" s="122"/>
      <c r="D237" s="80"/>
    </row>
    <row r="238" spans="1:4" x14ac:dyDescent="0.3">
      <c r="A238" s="603"/>
      <c r="B238" s="78" t="s">
        <v>29</v>
      </c>
      <c r="C238" s="122"/>
      <c r="D238" s="80"/>
    </row>
    <row r="239" spans="1:4" x14ac:dyDescent="0.3">
      <c r="A239" s="603"/>
      <c r="B239" s="78" t="s">
        <v>30</v>
      </c>
      <c r="C239" s="119"/>
      <c r="D239" s="80"/>
    </row>
    <row r="240" spans="1:4" x14ac:dyDescent="0.3">
      <c r="A240" s="603"/>
      <c r="B240" s="78" t="s">
        <v>31</v>
      </c>
      <c r="C240" s="119"/>
      <c r="D240" s="80"/>
    </row>
    <row r="241" spans="1:4" x14ac:dyDescent="0.3">
      <c r="A241" s="603"/>
      <c r="B241" s="78"/>
      <c r="C241" s="119"/>
      <c r="D241" s="80"/>
    </row>
    <row r="242" spans="1:4" x14ac:dyDescent="0.3">
      <c r="A242" s="603"/>
      <c r="B242" s="83" t="s">
        <v>13</v>
      </c>
      <c r="C242" s="79"/>
      <c r="D242" s="80"/>
    </row>
    <row r="243" spans="1:4" x14ac:dyDescent="0.3">
      <c r="A243" s="603"/>
      <c r="B243" s="78" t="s">
        <v>14</v>
      </c>
      <c r="C243" s="79">
        <v>135</v>
      </c>
      <c r="D243" s="80" t="s">
        <v>15</v>
      </c>
    </row>
    <row r="244" spans="1:4" x14ac:dyDescent="0.3">
      <c r="A244" s="603"/>
      <c r="B244" s="78" t="s">
        <v>16</v>
      </c>
      <c r="C244" s="79">
        <v>103</v>
      </c>
      <c r="D244" s="80" t="s">
        <v>17</v>
      </c>
    </row>
    <row r="245" spans="1:4" x14ac:dyDescent="0.3">
      <c r="A245" s="603"/>
      <c r="B245" s="78" t="s">
        <v>18</v>
      </c>
      <c r="C245" s="79">
        <f>C243*C244*12</f>
        <v>166860</v>
      </c>
      <c r="D245" s="80" t="s">
        <v>12</v>
      </c>
    </row>
    <row r="246" spans="1:4" x14ac:dyDescent="0.3">
      <c r="A246" s="603"/>
      <c r="B246" s="78"/>
      <c r="C246" s="79"/>
      <c r="D246" s="80"/>
    </row>
    <row r="247" spans="1:4" x14ac:dyDescent="0.3">
      <c r="A247" s="603"/>
      <c r="B247" s="83" t="s">
        <v>68</v>
      </c>
      <c r="C247" s="85"/>
      <c r="D247" s="80"/>
    </row>
    <row r="248" spans="1:4" ht="14.4" thickBot="1" x14ac:dyDescent="0.35">
      <c r="A248" s="603"/>
      <c r="B248" s="87" t="s">
        <v>85</v>
      </c>
      <c r="C248" s="88"/>
      <c r="D248" s="89" t="s">
        <v>12</v>
      </c>
    </row>
    <row r="249" spans="1:4" ht="33" customHeight="1" thickBot="1" x14ac:dyDescent="0.35">
      <c r="A249" s="618"/>
      <c r="B249" s="90" t="s">
        <v>215</v>
      </c>
      <c r="C249" s="91">
        <f>E222+C229+C231+C245</f>
        <v>2981820</v>
      </c>
      <c r="D249" s="92" t="s">
        <v>12</v>
      </c>
    </row>
    <row r="250" spans="1:4" ht="33" customHeight="1" thickTop="1" thickBot="1" x14ac:dyDescent="0.35">
      <c r="A250" s="198"/>
      <c r="B250" s="90" t="s">
        <v>211</v>
      </c>
      <c r="C250" s="91">
        <f>C249*1.23</f>
        <v>3667638.6</v>
      </c>
      <c r="D250" s="92" t="s">
        <v>12</v>
      </c>
    </row>
    <row r="251" spans="1:4" ht="16.5" customHeight="1" thickTop="1" thickBot="1" x14ac:dyDescent="0.35">
      <c r="A251" s="341"/>
      <c r="B251" s="206"/>
      <c r="C251" s="207"/>
      <c r="D251" s="209"/>
    </row>
    <row r="252" spans="1:4" ht="35.700000000000003" customHeight="1" thickBot="1" x14ac:dyDescent="0.35">
      <c r="A252" s="605" t="s">
        <v>225</v>
      </c>
      <c r="B252" s="607" t="s">
        <v>200</v>
      </c>
      <c r="C252" s="607"/>
      <c r="D252" s="343"/>
    </row>
    <row r="253" spans="1:4" ht="16.5" customHeight="1" x14ac:dyDescent="0.35">
      <c r="A253" s="606"/>
      <c r="B253" s="210" t="s">
        <v>172</v>
      </c>
      <c r="C253" s="211" t="s">
        <v>173</v>
      </c>
      <c r="D253" s="344"/>
    </row>
    <row r="254" spans="1:4" ht="16.5" customHeight="1" x14ac:dyDescent="0.3">
      <c r="A254" s="606"/>
      <c r="B254" s="180"/>
      <c r="C254" s="175"/>
      <c r="D254" s="329"/>
    </row>
    <row r="255" spans="1:4" ht="16.5" customHeight="1" x14ac:dyDescent="0.3">
      <c r="A255" s="606"/>
      <c r="B255" s="174" t="s">
        <v>174</v>
      </c>
      <c r="C255" s="175">
        <v>11698</v>
      </c>
      <c r="D255" s="329" t="s">
        <v>8</v>
      </c>
    </row>
    <row r="256" spans="1:4" ht="16.5" customHeight="1" x14ac:dyDescent="0.3">
      <c r="A256" s="606"/>
      <c r="B256" s="180"/>
      <c r="C256" s="175"/>
      <c r="D256" s="329"/>
    </row>
    <row r="257" spans="1:4" ht="27" customHeight="1" x14ac:dyDescent="0.3">
      <c r="A257" s="606"/>
      <c r="B257" s="174" t="s">
        <v>116</v>
      </c>
      <c r="C257" s="212">
        <f>1.48*1.02*1.02</f>
        <v>1.539792</v>
      </c>
      <c r="D257" s="329" t="s">
        <v>80</v>
      </c>
    </row>
    <row r="258" spans="1:4" ht="27" customHeight="1" x14ac:dyDescent="0.3">
      <c r="A258" s="606"/>
      <c r="B258" s="174" t="s">
        <v>116</v>
      </c>
      <c r="C258" s="175">
        <f>C257*$C$255*12</f>
        <v>216149.84179199999</v>
      </c>
      <c r="D258" s="329" t="s">
        <v>81</v>
      </c>
    </row>
    <row r="259" spans="1:4" ht="27" customHeight="1" x14ac:dyDescent="0.3">
      <c r="A259" s="606"/>
      <c r="B259" s="174" t="s">
        <v>117</v>
      </c>
      <c r="C259" s="212">
        <f>0.758*1.02*1.02</f>
        <v>0.78862320000000008</v>
      </c>
      <c r="D259" s="329" t="s">
        <v>80</v>
      </c>
    </row>
    <row r="260" spans="1:4" ht="27" customHeight="1" x14ac:dyDescent="0.3">
      <c r="A260" s="606"/>
      <c r="B260" s="174" t="s">
        <v>117</v>
      </c>
      <c r="C260" s="175">
        <f>C259*$C$255*12</f>
        <v>110703.77032320001</v>
      </c>
      <c r="D260" s="329" t="s">
        <v>81</v>
      </c>
    </row>
    <row r="261" spans="1:4" ht="27" customHeight="1" x14ac:dyDescent="0.3">
      <c r="A261" s="606"/>
      <c r="B261" s="174" t="s">
        <v>118</v>
      </c>
      <c r="C261" s="175">
        <v>0</v>
      </c>
      <c r="D261" s="329" t="s">
        <v>80</v>
      </c>
    </row>
    <row r="262" spans="1:4" ht="27" customHeight="1" x14ac:dyDescent="0.3">
      <c r="A262" s="606"/>
      <c r="B262" s="174" t="s">
        <v>118</v>
      </c>
      <c r="C262" s="175">
        <f>C261*$C$5*12</f>
        <v>0</v>
      </c>
      <c r="D262" s="329" t="s">
        <v>81</v>
      </c>
    </row>
    <row r="263" spans="1:4" ht="27" customHeight="1" x14ac:dyDescent="0.3">
      <c r="A263" s="606"/>
      <c r="B263" s="174" t="s">
        <v>119</v>
      </c>
      <c r="C263" s="212">
        <f>0.019*1.02*1.02</f>
        <v>1.9767600000000003E-2</v>
      </c>
      <c r="D263" s="329" t="s">
        <v>80</v>
      </c>
    </row>
    <row r="264" spans="1:4" ht="27" customHeight="1" x14ac:dyDescent="0.3">
      <c r="A264" s="606"/>
      <c r="B264" s="174" t="s">
        <v>119</v>
      </c>
      <c r="C264" s="175">
        <f>C263*(5851.14+3454+2386)*12</f>
        <v>2773.2693487680003</v>
      </c>
      <c r="D264" s="329" t="s">
        <v>81</v>
      </c>
    </row>
    <row r="265" spans="1:4" ht="27" customHeight="1" x14ac:dyDescent="0.3">
      <c r="A265" s="606"/>
      <c r="B265" s="174" t="s">
        <v>120</v>
      </c>
      <c r="C265" s="175">
        <v>36477</v>
      </c>
      <c r="D265" s="329" t="s">
        <v>12</v>
      </c>
    </row>
    <row r="266" spans="1:4" ht="16.5" customHeight="1" x14ac:dyDescent="0.3">
      <c r="A266" s="606"/>
      <c r="B266" s="174"/>
      <c r="C266" s="183"/>
      <c r="D266" s="329"/>
    </row>
    <row r="267" spans="1:4" ht="24.45" customHeight="1" x14ac:dyDescent="0.3">
      <c r="A267" s="606"/>
      <c r="B267" s="174" t="s">
        <v>192</v>
      </c>
      <c r="C267" s="175"/>
      <c r="D267" s="329"/>
    </row>
    <row r="268" spans="1:4" ht="30" customHeight="1" x14ac:dyDescent="0.3">
      <c r="A268" s="606"/>
      <c r="B268" s="176" t="s">
        <v>122</v>
      </c>
      <c r="C268" s="177">
        <f>C258+C260+C264+C265</f>
        <v>366103.88146396802</v>
      </c>
      <c r="D268" s="330" t="s">
        <v>175</v>
      </c>
    </row>
    <row r="269" spans="1:4" ht="28.2" customHeight="1" x14ac:dyDescent="0.3">
      <c r="A269" s="606"/>
      <c r="B269" s="174"/>
      <c r="C269" s="183"/>
      <c r="D269" s="329"/>
    </row>
    <row r="270" spans="1:4" ht="23.7" customHeight="1" thickBot="1" x14ac:dyDescent="0.35">
      <c r="A270" s="606"/>
      <c r="B270" s="213"/>
      <c r="C270" s="214"/>
      <c r="D270" s="345"/>
    </row>
    <row r="271" spans="1:4" ht="29.7" customHeight="1" x14ac:dyDescent="0.3">
      <c r="A271" s="606"/>
      <c r="B271" s="327" t="s">
        <v>222</v>
      </c>
      <c r="C271" s="340">
        <f>C258+C260+C264+C265+C267</f>
        <v>366103.88146396802</v>
      </c>
      <c r="D271" s="346" t="s">
        <v>175</v>
      </c>
    </row>
    <row r="272" spans="1:4" ht="29.7" customHeight="1" x14ac:dyDescent="0.3">
      <c r="A272" s="251"/>
      <c r="B272" s="348" t="s">
        <v>238</v>
      </c>
      <c r="C272" s="175">
        <f>3000000/15</f>
        <v>200000</v>
      </c>
      <c r="D272" s="329" t="s">
        <v>81</v>
      </c>
    </row>
    <row r="273" spans="1:4" ht="29.7" customHeight="1" x14ac:dyDescent="0.3">
      <c r="A273" s="251"/>
      <c r="B273" s="327"/>
      <c r="C273" s="342"/>
      <c r="D273" s="346"/>
    </row>
    <row r="274" spans="1:4" ht="29.7" customHeight="1" x14ac:dyDescent="0.3">
      <c r="A274" s="251"/>
      <c r="B274" s="327" t="s">
        <v>268</v>
      </c>
      <c r="C274" s="342">
        <f>C271+C272</f>
        <v>566103.88146396796</v>
      </c>
      <c r="D274" s="346" t="s">
        <v>12</v>
      </c>
    </row>
    <row r="275" spans="1:4" ht="29.7" customHeight="1" x14ac:dyDescent="0.3">
      <c r="A275" s="251"/>
      <c r="B275" s="327"/>
      <c r="C275" s="340"/>
      <c r="D275" s="346"/>
    </row>
    <row r="276" spans="1:4" ht="29.7" customHeight="1" x14ac:dyDescent="0.3">
      <c r="A276" s="251"/>
      <c r="B276" s="327"/>
      <c r="C276" s="340"/>
      <c r="D276" s="346"/>
    </row>
    <row r="277" spans="1:4" ht="16.5" customHeight="1" thickBot="1" x14ac:dyDescent="0.35">
      <c r="A277" s="347"/>
      <c r="B277" s="201"/>
      <c r="C277" s="202"/>
      <c r="D277" s="203"/>
    </row>
    <row r="278" spans="1:4" ht="16.2" customHeight="1" thickBot="1" x14ac:dyDescent="0.35">
      <c r="A278" s="215"/>
      <c r="B278" s="206"/>
      <c r="C278" s="207"/>
      <c r="D278" s="208"/>
    </row>
    <row r="279" spans="1:4" ht="109.5" customHeight="1" thickTop="1" thickBot="1" x14ac:dyDescent="0.35">
      <c r="A279" s="590" t="s">
        <v>176</v>
      </c>
      <c r="B279" s="591"/>
      <c r="C279" s="591"/>
      <c r="D279" s="592"/>
    </row>
    <row r="280" spans="1:4" ht="59.25" customHeight="1" thickTop="1" thickBot="1" x14ac:dyDescent="0.35">
      <c r="A280" s="593" t="s">
        <v>226</v>
      </c>
      <c r="B280" s="589" t="s">
        <v>177</v>
      </c>
      <c r="C280" s="589"/>
      <c r="D280" s="155"/>
    </row>
    <row r="281" spans="1:4" ht="16.5" customHeight="1" x14ac:dyDescent="0.35">
      <c r="A281" s="587"/>
      <c r="B281" s="152" t="s">
        <v>178</v>
      </c>
      <c r="C281" s="153" t="s">
        <v>173</v>
      </c>
      <c r="D281" s="154"/>
    </row>
    <row r="282" spans="1:4" ht="16.5" customHeight="1" x14ac:dyDescent="0.3">
      <c r="A282" s="587"/>
      <c r="B282" s="156" t="s">
        <v>179</v>
      </c>
      <c r="C282" s="157">
        <v>1633</v>
      </c>
      <c r="D282" s="158" t="s">
        <v>8</v>
      </c>
    </row>
    <row r="283" spans="1:4" ht="16.5" customHeight="1" x14ac:dyDescent="0.3">
      <c r="A283" s="587"/>
      <c r="B283" s="156" t="s">
        <v>126</v>
      </c>
      <c r="C283" s="157">
        <v>0</v>
      </c>
      <c r="D283" s="158" t="s">
        <v>10</v>
      </c>
    </row>
    <row r="284" spans="1:4" ht="16.5" customHeight="1" x14ac:dyDescent="0.3">
      <c r="A284" s="587"/>
      <c r="B284" s="159" t="s">
        <v>11</v>
      </c>
      <c r="C284" s="160">
        <f>C283*C282*12</f>
        <v>0</v>
      </c>
      <c r="D284" s="161" t="s">
        <v>175</v>
      </c>
    </row>
    <row r="285" spans="1:4" ht="16.5" customHeight="1" x14ac:dyDescent="0.3">
      <c r="A285" s="587"/>
      <c r="B285" s="162"/>
      <c r="C285" s="163"/>
      <c r="D285" s="158"/>
    </row>
    <row r="286" spans="1:4" ht="16.5" customHeight="1" x14ac:dyDescent="0.3">
      <c r="A286" s="587"/>
      <c r="B286" s="156" t="s">
        <v>116</v>
      </c>
      <c r="C286" s="164">
        <v>0</v>
      </c>
      <c r="D286" s="158" t="s">
        <v>80</v>
      </c>
    </row>
    <row r="287" spans="1:4" ht="16.5" customHeight="1" x14ac:dyDescent="0.3">
      <c r="A287" s="587"/>
      <c r="B287" s="156" t="s">
        <v>116</v>
      </c>
      <c r="C287" s="157">
        <f>C286*$C$26*12</f>
        <v>0</v>
      </c>
      <c r="D287" s="158" t="s">
        <v>81</v>
      </c>
    </row>
    <row r="288" spans="1:4" ht="16.5" customHeight="1" x14ac:dyDescent="0.3">
      <c r="A288" s="587"/>
      <c r="B288" s="156"/>
      <c r="C288" s="165"/>
      <c r="D288" s="158"/>
    </row>
    <row r="289" spans="1:6" ht="16.5" customHeight="1" x14ac:dyDescent="0.3">
      <c r="A289" s="587"/>
      <c r="B289" s="156" t="s">
        <v>82</v>
      </c>
      <c r="C289" s="163">
        <v>0</v>
      </c>
      <c r="D289" s="158" t="s">
        <v>80</v>
      </c>
    </row>
    <row r="290" spans="1:6" ht="16.5" customHeight="1" x14ac:dyDescent="0.3">
      <c r="A290" s="587"/>
      <c r="B290" s="156" t="s">
        <v>82</v>
      </c>
      <c r="C290" s="163">
        <f>C289*$C$26*12</f>
        <v>0</v>
      </c>
      <c r="D290" s="158" t="s">
        <v>81</v>
      </c>
    </row>
    <row r="291" spans="1:6" ht="16.5" customHeight="1" x14ac:dyDescent="0.3">
      <c r="A291" s="587"/>
      <c r="B291" s="156"/>
      <c r="C291" s="166"/>
      <c r="D291" s="158"/>
    </row>
    <row r="292" spans="1:6" ht="16.5" customHeight="1" x14ac:dyDescent="0.3">
      <c r="A292" s="587"/>
      <c r="B292" s="159" t="s">
        <v>180</v>
      </c>
      <c r="C292" s="160">
        <f>C284+C287</f>
        <v>0</v>
      </c>
      <c r="D292" s="161" t="s">
        <v>175</v>
      </c>
    </row>
    <row r="293" spans="1:6" ht="16.5" customHeight="1" x14ac:dyDescent="0.3">
      <c r="A293" s="587"/>
      <c r="B293" s="162"/>
      <c r="C293" s="167"/>
      <c r="D293" s="158"/>
    </row>
    <row r="294" spans="1:6" ht="16.5" customHeight="1" thickBot="1" x14ac:dyDescent="0.35">
      <c r="A294" s="587"/>
      <c r="B294" s="168"/>
      <c r="C294" s="169"/>
      <c r="D294" s="170"/>
    </row>
    <row r="295" spans="1:6" ht="45" customHeight="1" thickBot="1" x14ac:dyDescent="0.35">
      <c r="A295" s="588"/>
      <c r="B295" s="171" t="s">
        <v>181</v>
      </c>
      <c r="C295" s="172">
        <f>C292</f>
        <v>0</v>
      </c>
      <c r="D295" s="173" t="s">
        <v>175</v>
      </c>
    </row>
    <row r="296" spans="1:6" ht="51" customHeight="1" thickTop="1" thickBot="1" x14ac:dyDescent="0.35">
      <c r="A296" s="594"/>
      <c r="B296" s="594"/>
      <c r="C296" s="594"/>
      <c r="D296" s="594"/>
    </row>
    <row r="297" spans="1:6" s="93" customFormat="1" ht="90.75" customHeight="1" thickTop="1" thickBot="1" x14ac:dyDescent="0.35">
      <c r="A297" s="595" t="s">
        <v>171</v>
      </c>
      <c r="B297" s="596"/>
      <c r="C297" s="596"/>
      <c r="D297" s="597"/>
    </row>
    <row r="298" spans="1:6" ht="36.6" thickTop="1" thickBot="1" x14ac:dyDescent="0.35">
      <c r="A298" s="598" t="s">
        <v>149</v>
      </c>
      <c r="B298" s="41" t="s">
        <v>154</v>
      </c>
      <c r="C298" s="123"/>
      <c r="D298" s="124"/>
    </row>
    <row r="299" spans="1:6" ht="14.4" thickTop="1" x14ac:dyDescent="0.3">
      <c r="A299" s="599"/>
      <c r="B299" s="125"/>
      <c r="C299" s="126"/>
      <c r="D299" s="127"/>
    </row>
    <row r="300" spans="1:6" x14ac:dyDescent="0.3">
      <c r="A300" s="599"/>
      <c r="B300" s="128" t="s">
        <v>22</v>
      </c>
      <c r="C300" s="65">
        <v>456</v>
      </c>
      <c r="D300" s="63" t="s">
        <v>23</v>
      </c>
      <c r="E300" s="97"/>
      <c r="F300" s="98"/>
    </row>
    <row r="301" spans="1:6" x14ac:dyDescent="0.3">
      <c r="A301" s="599"/>
      <c r="B301" s="128" t="s">
        <v>24</v>
      </c>
      <c r="C301" s="65">
        <v>7300</v>
      </c>
      <c r="D301" s="63" t="s">
        <v>8</v>
      </c>
    </row>
    <row r="302" spans="1:6" x14ac:dyDescent="0.3">
      <c r="A302" s="599"/>
      <c r="B302" s="128" t="s">
        <v>98</v>
      </c>
      <c r="C302" s="65"/>
      <c r="D302" s="63" t="s">
        <v>8</v>
      </c>
    </row>
    <row r="303" spans="1:6" x14ac:dyDescent="0.3">
      <c r="A303" s="599"/>
      <c r="B303" s="128" t="s">
        <v>99</v>
      </c>
      <c r="C303" s="65">
        <f>C301+C302</f>
        <v>7300</v>
      </c>
      <c r="D303" s="63" t="s">
        <v>8</v>
      </c>
    </row>
    <row r="304" spans="1:6" x14ac:dyDescent="0.3">
      <c r="A304" s="599"/>
      <c r="B304" s="128"/>
      <c r="C304" s="65"/>
      <c r="D304" s="63"/>
    </row>
    <row r="305" spans="1:7" x14ac:dyDescent="0.3">
      <c r="A305" s="599"/>
      <c r="B305" s="128"/>
      <c r="C305" s="99"/>
      <c r="D305" s="63"/>
      <c r="E305" s="51" t="s">
        <v>140</v>
      </c>
      <c r="F305" s="51" t="s">
        <v>141</v>
      </c>
      <c r="G305" s="51" t="s">
        <v>142</v>
      </c>
    </row>
    <row r="306" spans="1:7" x14ac:dyDescent="0.3">
      <c r="A306" s="599"/>
      <c r="B306" s="128" t="s">
        <v>100</v>
      </c>
      <c r="C306" s="100"/>
      <c r="D306" s="63"/>
      <c r="E306" s="101">
        <v>14.7</v>
      </c>
      <c r="F306" s="101">
        <v>15.93</v>
      </c>
      <c r="G306" s="101">
        <f>16.6+1.48</f>
        <v>18.080000000000002</v>
      </c>
    </row>
    <row r="307" spans="1:7" x14ac:dyDescent="0.3">
      <c r="A307" s="599"/>
      <c r="B307" s="128" t="s">
        <v>11</v>
      </c>
      <c r="C307" s="100">
        <f>$C301*C306*12</f>
        <v>0</v>
      </c>
      <c r="D307" s="63"/>
      <c r="E307" s="102">
        <f>$C301*E306*12</f>
        <v>1287720</v>
      </c>
      <c r="F307" s="102">
        <f>$C301*F306*12</f>
        <v>1395468</v>
      </c>
      <c r="G307" s="102">
        <f>$C301*G306*12</f>
        <v>1583808</v>
      </c>
    </row>
    <row r="308" spans="1:7" x14ac:dyDescent="0.3">
      <c r="A308" s="599"/>
      <c r="B308" s="128"/>
      <c r="C308" s="65"/>
      <c r="D308" s="63"/>
    </row>
    <row r="309" spans="1:7" x14ac:dyDescent="0.3">
      <c r="A309" s="599"/>
      <c r="B309" s="128" t="s">
        <v>25</v>
      </c>
      <c r="C309" s="65">
        <v>0</v>
      </c>
      <c r="D309" s="63" t="s">
        <v>10</v>
      </c>
      <c r="E309" s="52" t="s">
        <v>101</v>
      </c>
      <c r="F309" s="52"/>
    </row>
    <row r="310" spans="1:7" x14ac:dyDescent="0.3">
      <c r="A310" s="599"/>
      <c r="B310" s="128"/>
      <c r="C310" s="103"/>
      <c r="D310" s="63"/>
    </row>
    <row r="311" spans="1:7" x14ac:dyDescent="0.3">
      <c r="A311" s="599"/>
      <c r="B311" s="129" t="s">
        <v>19</v>
      </c>
      <c r="C311" s="65"/>
      <c r="D311" s="63"/>
    </row>
    <row r="312" spans="1:7" x14ac:dyDescent="0.3">
      <c r="A312" s="599"/>
      <c r="B312" s="128" t="s">
        <v>26</v>
      </c>
      <c r="C312" s="104"/>
      <c r="D312" s="63"/>
    </row>
    <row r="313" spans="1:7" x14ac:dyDescent="0.3">
      <c r="A313" s="599"/>
      <c r="B313" s="128" t="s">
        <v>20</v>
      </c>
      <c r="C313" s="65">
        <v>1.23</v>
      </c>
      <c r="D313" s="63" t="s">
        <v>80</v>
      </c>
      <c r="F313" s="53"/>
    </row>
    <row r="314" spans="1:7" x14ac:dyDescent="0.3">
      <c r="A314" s="599"/>
      <c r="B314" s="128" t="s">
        <v>20</v>
      </c>
      <c r="C314" s="65">
        <f>C313*C303*12</f>
        <v>107748</v>
      </c>
      <c r="D314" s="63" t="s">
        <v>81</v>
      </c>
    </row>
    <row r="315" spans="1:7" x14ac:dyDescent="0.3">
      <c r="A315" s="599"/>
      <c r="B315" s="128" t="s">
        <v>82</v>
      </c>
      <c r="C315" s="65">
        <v>4.55</v>
      </c>
      <c r="D315" s="63" t="s">
        <v>80</v>
      </c>
    </row>
    <row r="316" spans="1:7" x14ac:dyDescent="0.3">
      <c r="A316" s="599"/>
      <c r="B316" s="128" t="s">
        <v>82</v>
      </c>
      <c r="C316" s="65">
        <f>C315*C303*12</f>
        <v>398580</v>
      </c>
      <c r="D316" s="63" t="s">
        <v>81</v>
      </c>
    </row>
    <row r="317" spans="1:7" x14ac:dyDescent="0.3">
      <c r="A317" s="599"/>
      <c r="B317" s="128" t="s">
        <v>83</v>
      </c>
      <c r="C317" s="65"/>
      <c r="D317" s="63" t="s">
        <v>80</v>
      </c>
    </row>
    <row r="318" spans="1:7" x14ac:dyDescent="0.3">
      <c r="A318" s="599"/>
      <c r="B318" s="128" t="s">
        <v>83</v>
      </c>
      <c r="C318" s="65">
        <f>C317*C303*12</f>
        <v>0</v>
      </c>
      <c r="D318" s="63" t="s">
        <v>81</v>
      </c>
    </row>
    <row r="319" spans="1:7" x14ac:dyDescent="0.3">
      <c r="A319" s="599"/>
      <c r="B319" s="128" t="s">
        <v>21</v>
      </c>
      <c r="C319" s="65">
        <f>C316+C318</f>
        <v>398580</v>
      </c>
      <c r="D319" s="63" t="s">
        <v>12</v>
      </c>
    </row>
    <row r="320" spans="1:7" x14ac:dyDescent="0.3">
      <c r="A320" s="599"/>
      <c r="B320" s="128"/>
      <c r="C320" s="65"/>
      <c r="D320" s="63"/>
    </row>
    <row r="321" spans="1:26" ht="14.4" x14ac:dyDescent="0.3">
      <c r="A321" s="599"/>
      <c r="B321" s="129" t="s">
        <v>27</v>
      </c>
      <c r="C321" s="106"/>
      <c r="D321" s="63"/>
    </row>
    <row r="322" spans="1:26" x14ac:dyDescent="0.3">
      <c r="A322" s="599"/>
      <c r="B322" s="128" t="s">
        <v>28</v>
      </c>
      <c r="C322" s="107"/>
      <c r="D322" s="63"/>
    </row>
    <row r="323" spans="1:26" x14ac:dyDescent="0.3">
      <c r="A323" s="599"/>
      <c r="B323" s="128" t="s">
        <v>29</v>
      </c>
      <c r="C323" s="107"/>
      <c r="D323" s="63"/>
    </row>
    <row r="324" spans="1:26" x14ac:dyDescent="0.3">
      <c r="A324" s="599"/>
      <c r="B324" s="128" t="s">
        <v>30</v>
      </c>
      <c r="C324" s="103"/>
      <c r="D324" s="63"/>
      <c r="M324" s="108" t="s">
        <v>86</v>
      </c>
      <c r="N324" s="109" t="s">
        <v>88</v>
      </c>
      <c r="O324" s="109" t="s">
        <v>89</v>
      </c>
      <c r="P324" s="110">
        <v>1.9131944444444444</v>
      </c>
      <c r="Q324" s="110">
        <v>2.3229166666666665</v>
      </c>
      <c r="R324" s="110">
        <v>2.5277777777777777</v>
      </c>
      <c r="T324" s="108" t="s">
        <v>91</v>
      </c>
      <c r="U324" s="109" t="s">
        <v>95</v>
      </c>
      <c r="V324" s="109" t="s">
        <v>92</v>
      </c>
      <c r="W324" s="109" t="s">
        <v>93</v>
      </c>
      <c r="X324" s="109" t="s">
        <v>96</v>
      </c>
      <c r="Y324" s="109" t="s">
        <v>97</v>
      </c>
      <c r="Z324" s="109" t="s">
        <v>94</v>
      </c>
    </row>
    <row r="325" spans="1:26" x14ac:dyDescent="0.3">
      <c r="A325" s="599"/>
      <c r="B325" s="128" t="s">
        <v>31</v>
      </c>
      <c r="C325" s="103"/>
      <c r="D325" s="63"/>
      <c r="M325" s="108" t="s">
        <v>87</v>
      </c>
      <c r="N325" s="109">
        <v>0.8</v>
      </c>
      <c r="O325" s="109">
        <v>1</v>
      </c>
      <c r="P325" s="109">
        <v>1.2</v>
      </c>
      <c r="Q325" s="109">
        <v>1.3</v>
      </c>
      <c r="R325" s="109">
        <v>1.4</v>
      </c>
      <c r="T325" s="108" t="s">
        <v>90</v>
      </c>
      <c r="U325" s="109">
        <v>0.05</v>
      </c>
      <c r="V325" s="109">
        <v>0.3</v>
      </c>
      <c r="W325" s="109">
        <v>0.8</v>
      </c>
      <c r="X325" s="109">
        <v>0.6</v>
      </c>
      <c r="Y325" s="109">
        <v>0.7</v>
      </c>
      <c r="Z325" s="109">
        <v>1</v>
      </c>
    </row>
    <row r="326" spans="1:26" ht="12" customHeight="1" x14ac:dyDescent="0.3">
      <c r="A326" s="599"/>
      <c r="B326" s="128"/>
      <c r="C326" s="103"/>
      <c r="D326" s="63"/>
    </row>
    <row r="327" spans="1:26" ht="12" customHeight="1" x14ac:dyDescent="0.3">
      <c r="A327" s="599"/>
      <c r="B327" s="129" t="s">
        <v>13</v>
      </c>
      <c r="C327" s="65"/>
      <c r="D327" s="63"/>
    </row>
    <row r="328" spans="1:26" ht="12" customHeight="1" x14ac:dyDescent="0.3">
      <c r="A328" s="599"/>
      <c r="B328" s="128" t="s">
        <v>14</v>
      </c>
      <c r="C328" s="65">
        <v>123</v>
      </c>
      <c r="D328" s="63" t="s">
        <v>15</v>
      </c>
    </row>
    <row r="329" spans="1:26" ht="12" customHeight="1" x14ac:dyDescent="0.3">
      <c r="A329" s="599"/>
      <c r="B329" s="128" t="s">
        <v>16</v>
      </c>
      <c r="C329" s="65">
        <v>90</v>
      </c>
      <c r="D329" s="63" t="s">
        <v>17</v>
      </c>
    </row>
    <row r="330" spans="1:26" x14ac:dyDescent="0.3">
      <c r="A330" s="599"/>
      <c r="B330" s="128" t="s">
        <v>18</v>
      </c>
      <c r="C330" s="65">
        <f>C328*C329*12</f>
        <v>132840</v>
      </c>
      <c r="D330" s="63" t="s">
        <v>12</v>
      </c>
    </row>
    <row r="331" spans="1:26" x14ac:dyDescent="0.3">
      <c r="A331" s="599"/>
      <c r="B331" s="128"/>
      <c r="C331" s="65"/>
      <c r="D331" s="63"/>
    </row>
    <row r="332" spans="1:26" x14ac:dyDescent="0.3">
      <c r="A332" s="599"/>
      <c r="B332" s="129" t="s">
        <v>68</v>
      </c>
      <c r="C332" s="70"/>
      <c r="D332" s="63"/>
    </row>
    <row r="333" spans="1:26" ht="14.4" thickBot="1" x14ac:dyDescent="0.35">
      <c r="A333" s="599"/>
      <c r="B333" s="130" t="s">
        <v>85</v>
      </c>
      <c r="C333" s="131"/>
      <c r="D333" s="132" t="s">
        <v>12</v>
      </c>
    </row>
    <row r="334" spans="1:26" ht="34.950000000000003" customHeight="1" thickTop="1" x14ac:dyDescent="0.3">
      <c r="A334" s="74"/>
      <c r="B334" s="133" t="s">
        <v>143</v>
      </c>
      <c r="C334" s="134">
        <f>E307+C314+C316+C330</f>
        <v>1926888</v>
      </c>
      <c r="D334" s="135" t="s">
        <v>12</v>
      </c>
    </row>
    <row r="335" spans="1:26" ht="21" customHeight="1" x14ac:dyDescent="0.3">
      <c r="A335" s="600"/>
      <c r="B335" s="601"/>
      <c r="C335" s="601"/>
      <c r="D335" s="602"/>
    </row>
    <row r="336" spans="1:26" ht="36" thickBot="1" x14ac:dyDescent="0.35">
      <c r="A336" s="603" t="s">
        <v>150</v>
      </c>
      <c r="B336" s="48" t="s">
        <v>155</v>
      </c>
      <c r="C336" s="136"/>
      <c r="D336" s="137"/>
    </row>
    <row r="337" spans="1:7" ht="14.4" thickTop="1" x14ac:dyDescent="0.3">
      <c r="A337" s="604"/>
      <c r="B337" s="138"/>
      <c r="C337" s="139"/>
      <c r="D337" s="140"/>
    </row>
    <row r="338" spans="1:7" x14ac:dyDescent="0.3">
      <c r="A338" s="604"/>
      <c r="B338" s="141" t="s">
        <v>22</v>
      </c>
      <c r="C338" s="79">
        <v>654</v>
      </c>
      <c r="D338" s="80" t="s">
        <v>23</v>
      </c>
    </row>
    <row r="339" spans="1:7" x14ac:dyDescent="0.3">
      <c r="A339" s="604"/>
      <c r="B339" s="141" t="s">
        <v>24</v>
      </c>
      <c r="C339" s="79">
        <v>10400</v>
      </c>
      <c r="D339" s="80" t="s">
        <v>8</v>
      </c>
    </row>
    <row r="340" spans="1:7" x14ac:dyDescent="0.3">
      <c r="A340" s="604"/>
      <c r="B340" s="141" t="s">
        <v>156</v>
      </c>
      <c r="C340" s="79">
        <v>200</v>
      </c>
      <c r="D340" s="80" t="s">
        <v>8</v>
      </c>
    </row>
    <row r="341" spans="1:7" x14ac:dyDescent="0.3">
      <c r="A341" s="604"/>
      <c r="B341" s="141" t="s">
        <v>99</v>
      </c>
      <c r="C341" s="79">
        <f>C339+C340</f>
        <v>10600</v>
      </c>
      <c r="D341" s="80" t="s">
        <v>8</v>
      </c>
    </row>
    <row r="342" spans="1:7" x14ac:dyDescent="0.3">
      <c r="A342" s="604"/>
      <c r="B342" s="141"/>
      <c r="C342" s="79"/>
      <c r="D342" s="80"/>
    </row>
    <row r="343" spans="1:7" x14ac:dyDescent="0.3">
      <c r="A343" s="604"/>
      <c r="B343" s="141"/>
      <c r="C343" s="116"/>
      <c r="D343" s="80"/>
      <c r="E343" s="51" t="s">
        <v>140</v>
      </c>
      <c r="F343" s="51" t="s">
        <v>141</v>
      </c>
      <c r="G343" s="51" t="s">
        <v>142</v>
      </c>
    </row>
    <row r="344" spans="1:7" x14ac:dyDescent="0.3">
      <c r="A344" s="604"/>
      <c r="B344" s="141" t="s">
        <v>100</v>
      </c>
      <c r="C344" s="117"/>
      <c r="D344" s="80"/>
      <c r="E344" s="118">
        <f>10.75+1.2</f>
        <v>11.95</v>
      </c>
      <c r="F344" s="118">
        <f>11.75+1.2</f>
        <v>12.95</v>
      </c>
      <c r="G344" s="118">
        <f>13.5+1.2</f>
        <v>14.7</v>
      </c>
    </row>
    <row r="345" spans="1:7" x14ac:dyDescent="0.3">
      <c r="A345" s="604"/>
      <c r="B345" s="141" t="s">
        <v>11</v>
      </c>
      <c r="C345" s="79">
        <f>C341*C344*12</f>
        <v>0</v>
      </c>
      <c r="D345" s="80"/>
      <c r="E345" s="102">
        <f>$C339*E344*12</f>
        <v>1491359.9999999998</v>
      </c>
      <c r="F345" s="102">
        <f>$C339*F344*12</f>
        <v>1616160</v>
      </c>
      <c r="G345" s="102">
        <f>$C339*G344*12</f>
        <v>1834560</v>
      </c>
    </row>
    <row r="346" spans="1:7" x14ac:dyDescent="0.3">
      <c r="A346" s="604"/>
      <c r="B346" s="141"/>
      <c r="C346" s="79"/>
      <c r="D346" s="80"/>
    </row>
    <row r="347" spans="1:7" x14ac:dyDescent="0.3">
      <c r="A347" s="604"/>
      <c r="B347" s="141" t="s">
        <v>25</v>
      </c>
      <c r="C347" s="79">
        <v>0</v>
      </c>
      <c r="D347" s="80" t="s">
        <v>10</v>
      </c>
      <c r="E347" s="52" t="s">
        <v>101</v>
      </c>
      <c r="F347" s="52"/>
    </row>
    <row r="348" spans="1:7" x14ac:dyDescent="0.3">
      <c r="A348" s="604"/>
      <c r="B348" s="141"/>
      <c r="C348" s="119"/>
      <c r="D348" s="80"/>
    </row>
    <row r="349" spans="1:7" x14ac:dyDescent="0.3">
      <c r="A349" s="604"/>
      <c r="B349" s="142" t="s">
        <v>19</v>
      </c>
      <c r="C349" s="79"/>
      <c r="D349" s="80"/>
    </row>
    <row r="350" spans="1:7" x14ac:dyDescent="0.3">
      <c r="A350" s="604"/>
      <c r="B350" s="141" t="s">
        <v>26</v>
      </c>
      <c r="C350" s="120"/>
      <c r="D350" s="80"/>
    </row>
    <row r="351" spans="1:7" x14ac:dyDescent="0.3">
      <c r="A351" s="604"/>
      <c r="B351" s="141" t="s">
        <v>20</v>
      </c>
      <c r="C351" s="79">
        <v>1</v>
      </c>
      <c r="D351" s="80" t="s">
        <v>80</v>
      </c>
    </row>
    <row r="352" spans="1:7" x14ac:dyDescent="0.3">
      <c r="A352" s="604"/>
      <c r="B352" s="141" t="s">
        <v>20</v>
      </c>
      <c r="C352" s="79">
        <f>C351*C341*12</f>
        <v>127200</v>
      </c>
      <c r="D352" s="80" t="s">
        <v>81</v>
      </c>
    </row>
    <row r="353" spans="1:4" x14ac:dyDescent="0.3">
      <c r="A353" s="604"/>
      <c r="B353" s="141" t="s">
        <v>82</v>
      </c>
      <c r="C353" s="79">
        <v>3.7</v>
      </c>
      <c r="D353" s="80" t="s">
        <v>80</v>
      </c>
    </row>
    <row r="354" spans="1:4" x14ac:dyDescent="0.3">
      <c r="A354" s="604"/>
      <c r="B354" s="141" t="s">
        <v>82</v>
      </c>
      <c r="C354" s="79">
        <f>C353*C341*12</f>
        <v>470640</v>
      </c>
      <c r="D354" s="80" t="s">
        <v>81</v>
      </c>
    </row>
    <row r="355" spans="1:4" x14ac:dyDescent="0.3">
      <c r="A355" s="604"/>
      <c r="B355" s="141" t="s">
        <v>83</v>
      </c>
      <c r="C355" s="79"/>
      <c r="D355" s="80" t="s">
        <v>80</v>
      </c>
    </row>
    <row r="356" spans="1:4" x14ac:dyDescent="0.3">
      <c r="A356" s="604"/>
      <c r="B356" s="141" t="s">
        <v>83</v>
      </c>
      <c r="C356" s="79">
        <f>C355*C341*12</f>
        <v>0</v>
      </c>
      <c r="D356" s="80" t="s">
        <v>81</v>
      </c>
    </row>
    <row r="357" spans="1:4" x14ac:dyDescent="0.3">
      <c r="A357" s="604"/>
      <c r="B357" s="141" t="s">
        <v>21</v>
      </c>
      <c r="C357" s="79">
        <f>C354+C356</f>
        <v>470640</v>
      </c>
      <c r="D357" s="80" t="s">
        <v>12</v>
      </c>
    </row>
    <row r="358" spans="1:4" x14ac:dyDescent="0.3">
      <c r="A358" s="604"/>
      <c r="B358" s="141"/>
      <c r="C358" s="79"/>
      <c r="D358" s="80"/>
    </row>
    <row r="359" spans="1:4" ht="14.4" x14ac:dyDescent="0.3">
      <c r="A359" s="604"/>
      <c r="B359" s="142" t="s">
        <v>27</v>
      </c>
      <c r="C359" s="121"/>
      <c r="D359" s="80"/>
    </row>
    <row r="360" spans="1:4" x14ac:dyDescent="0.3">
      <c r="A360" s="604"/>
      <c r="B360" s="141" t="s">
        <v>28</v>
      </c>
      <c r="C360" s="122"/>
      <c r="D360" s="80"/>
    </row>
    <row r="361" spans="1:4" x14ac:dyDescent="0.3">
      <c r="A361" s="604"/>
      <c r="B361" s="141" t="s">
        <v>29</v>
      </c>
      <c r="C361" s="122"/>
      <c r="D361" s="80"/>
    </row>
    <row r="362" spans="1:4" x14ac:dyDescent="0.3">
      <c r="A362" s="604"/>
      <c r="B362" s="141" t="s">
        <v>30</v>
      </c>
      <c r="C362" s="119"/>
      <c r="D362" s="80"/>
    </row>
    <row r="363" spans="1:4" x14ac:dyDescent="0.3">
      <c r="A363" s="604"/>
      <c r="B363" s="141" t="s">
        <v>31</v>
      </c>
      <c r="C363" s="119"/>
      <c r="D363" s="80"/>
    </row>
    <row r="364" spans="1:4" x14ac:dyDescent="0.3">
      <c r="A364" s="604"/>
      <c r="B364" s="141"/>
      <c r="C364" s="119"/>
      <c r="D364" s="80"/>
    </row>
    <row r="365" spans="1:4" x14ac:dyDescent="0.3">
      <c r="A365" s="604"/>
      <c r="B365" s="142" t="s">
        <v>13</v>
      </c>
      <c r="C365" s="79"/>
      <c r="D365" s="80"/>
    </row>
    <row r="366" spans="1:4" x14ac:dyDescent="0.3">
      <c r="A366" s="604"/>
      <c r="B366" s="141" t="s">
        <v>14</v>
      </c>
      <c r="C366" s="79">
        <v>100</v>
      </c>
      <c r="D366" s="80" t="s">
        <v>15</v>
      </c>
    </row>
    <row r="367" spans="1:4" x14ac:dyDescent="0.3">
      <c r="A367" s="604"/>
      <c r="B367" s="141" t="s">
        <v>16</v>
      </c>
      <c r="C367" s="79">
        <v>103</v>
      </c>
      <c r="D367" s="80" t="s">
        <v>17</v>
      </c>
    </row>
    <row r="368" spans="1:4" x14ac:dyDescent="0.3">
      <c r="A368" s="604"/>
      <c r="B368" s="141" t="s">
        <v>18</v>
      </c>
      <c r="C368" s="79">
        <f>C366*C367*12</f>
        <v>123600</v>
      </c>
      <c r="D368" s="80" t="s">
        <v>12</v>
      </c>
    </row>
    <row r="369" spans="1:4" x14ac:dyDescent="0.3">
      <c r="A369" s="604"/>
      <c r="B369" s="141"/>
      <c r="C369" s="79"/>
      <c r="D369" s="80"/>
    </row>
    <row r="370" spans="1:4" x14ac:dyDescent="0.3">
      <c r="A370" s="604"/>
      <c r="B370" s="142" t="s">
        <v>68</v>
      </c>
      <c r="C370" s="85"/>
      <c r="D370" s="80"/>
    </row>
    <row r="371" spans="1:4" ht="14.4" thickBot="1" x14ac:dyDescent="0.35">
      <c r="A371" s="604"/>
      <c r="B371" s="143" t="s">
        <v>85</v>
      </c>
      <c r="C371" s="144"/>
      <c r="D371" s="145" t="s">
        <v>12</v>
      </c>
    </row>
    <row r="372" spans="1:4" ht="33" customHeight="1" thickTop="1" thickBot="1" x14ac:dyDescent="0.35">
      <c r="A372" s="231"/>
      <c r="B372" s="233" t="s">
        <v>215</v>
      </c>
      <c r="C372" s="234">
        <f>E345+C352+C354+C368</f>
        <v>2212800</v>
      </c>
      <c r="D372" s="235" t="s">
        <v>12</v>
      </c>
    </row>
    <row r="373" spans="1:4" ht="33" customHeight="1" thickBot="1" x14ac:dyDescent="0.35">
      <c r="A373" s="232"/>
      <c r="B373" s="236" t="s">
        <v>211</v>
      </c>
      <c r="C373" s="237">
        <f>C372*1.23</f>
        <v>2721744</v>
      </c>
      <c r="D373" s="238" t="s">
        <v>12</v>
      </c>
    </row>
    <row r="374" spans="1:4" ht="15" thickTop="1" thickBot="1" x14ac:dyDescent="0.35"/>
    <row r="375" spans="1:4" ht="48" customHeight="1" thickBot="1" x14ac:dyDescent="0.35">
      <c r="A375" s="605" t="s">
        <v>201</v>
      </c>
      <c r="B375" s="607" t="s">
        <v>200</v>
      </c>
      <c r="C375" s="607"/>
      <c r="D375" s="343"/>
    </row>
    <row r="376" spans="1:4" ht="19.95" customHeight="1" x14ac:dyDescent="0.35">
      <c r="A376" s="606"/>
      <c r="B376" s="210" t="s">
        <v>172</v>
      </c>
      <c r="C376" s="211" t="s">
        <v>173</v>
      </c>
      <c r="D376" s="344"/>
    </row>
    <row r="377" spans="1:4" ht="19.95" customHeight="1" x14ac:dyDescent="0.3">
      <c r="A377" s="606"/>
      <c r="B377" s="180"/>
      <c r="C377" s="175"/>
      <c r="D377" s="329"/>
    </row>
    <row r="378" spans="1:4" ht="19.95" customHeight="1" x14ac:dyDescent="0.3">
      <c r="A378" s="606"/>
      <c r="B378" s="174" t="s">
        <v>174</v>
      </c>
      <c r="C378" s="175">
        <v>11698</v>
      </c>
      <c r="D378" s="329" t="s">
        <v>8</v>
      </c>
    </row>
    <row r="379" spans="1:4" ht="19.95" customHeight="1" x14ac:dyDescent="0.3">
      <c r="A379" s="606"/>
      <c r="B379" s="180"/>
      <c r="C379" s="175"/>
      <c r="D379" s="329"/>
    </row>
    <row r="380" spans="1:4" ht="19.95" customHeight="1" x14ac:dyDescent="0.3">
      <c r="A380" s="606"/>
      <c r="B380" s="174" t="s">
        <v>116</v>
      </c>
      <c r="C380" s="212">
        <f>1.48*1.02*1.02</f>
        <v>1.539792</v>
      </c>
      <c r="D380" s="329" t="s">
        <v>80</v>
      </c>
    </row>
    <row r="381" spans="1:4" ht="19.95" customHeight="1" x14ac:dyDescent="0.3">
      <c r="A381" s="606"/>
      <c r="B381" s="174" t="s">
        <v>116</v>
      </c>
      <c r="C381" s="175">
        <f>C380*$C$255*12</f>
        <v>216149.84179199999</v>
      </c>
      <c r="D381" s="329" t="s">
        <v>81</v>
      </c>
    </row>
    <row r="382" spans="1:4" ht="19.95" customHeight="1" x14ac:dyDescent="0.3">
      <c r="A382" s="606"/>
      <c r="B382" s="174" t="s">
        <v>117</v>
      </c>
      <c r="C382" s="212">
        <f>0.758*1.02*1.02</f>
        <v>0.78862320000000008</v>
      </c>
      <c r="D382" s="329" t="s">
        <v>80</v>
      </c>
    </row>
    <row r="383" spans="1:4" ht="19.95" customHeight="1" x14ac:dyDescent="0.3">
      <c r="A383" s="606"/>
      <c r="B383" s="174" t="s">
        <v>117</v>
      </c>
      <c r="C383" s="175">
        <f>C382*$C$255*12</f>
        <v>110703.77032320001</v>
      </c>
      <c r="D383" s="329" t="s">
        <v>81</v>
      </c>
    </row>
    <row r="384" spans="1:4" ht="19.95" customHeight="1" x14ac:dyDescent="0.3">
      <c r="A384" s="606"/>
      <c r="B384" s="174" t="s">
        <v>118</v>
      </c>
      <c r="C384" s="175">
        <v>0</v>
      </c>
      <c r="D384" s="329" t="s">
        <v>80</v>
      </c>
    </row>
    <row r="385" spans="1:4" ht="19.95" customHeight="1" x14ac:dyDescent="0.3">
      <c r="A385" s="606"/>
      <c r="B385" s="174" t="s">
        <v>118</v>
      </c>
      <c r="C385" s="175">
        <f>C384*$C$5*12</f>
        <v>0</v>
      </c>
      <c r="D385" s="329" t="s">
        <v>81</v>
      </c>
    </row>
    <row r="386" spans="1:4" ht="19.95" customHeight="1" x14ac:dyDescent="0.3">
      <c r="A386" s="606"/>
      <c r="B386" s="174" t="s">
        <v>119</v>
      </c>
      <c r="C386" s="212">
        <f>0.019*1.02*1.02</f>
        <v>1.9767600000000003E-2</v>
      </c>
      <c r="D386" s="329" t="s">
        <v>80</v>
      </c>
    </row>
    <row r="387" spans="1:4" ht="19.95" customHeight="1" x14ac:dyDescent="0.3">
      <c r="A387" s="606"/>
      <c r="B387" s="174" t="s">
        <v>119</v>
      </c>
      <c r="C387" s="175">
        <f>C386*(5851.14+3454+2386)*12</f>
        <v>2773.2693487680003</v>
      </c>
      <c r="D387" s="329" t="s">
        <v>81</v>
      </c>
    </row>
    <row r="388" spans="1:4" ht="19.95" customHeight="1" x14ac:dyDescent="0.3">
      <c r="A388" s="606"/>
      <c r="B388" s="174" t="s">
        <v>120</v>
      </c>
      <c r="C388" s="175">
        <v>36477</v>
      </c>
      <c r="D388" s="329" t="s">
        <v>12</v>
      </c>
    </row>
    <row r="389" spans="1:4" ht="19.95" customHeight="1" x14ac:dyDescent="0.3">
      <c r="A389" s="606"/>
      <c r="B389" s="174"/>
      <c r="C389" s="183"/>
      <c r="D389" s="329"/>
    </row>
    <row r="390" spans="1:4" ht="19.95" customHeight="1" x14ac:dyDescent="0.3">
      <c r="A390" s="606"/>
      <c r="B390" s="174"/>
      <c r="C390" s="175"/>
      <c r="D390" s="329"/>
    </row>
    <row r="391" spans="1:4" ht="19.95" customHeight="1" x14ac:dyDescent="0.3">
      <c r="A391" s="606"/>
      <c r="B391" s="176" t="s">
        <v>122</v>
      </c>
      <c r="C391" s="177">
        <f>C381+C383+C387+C388</f>
        <v>366103.88146396802</v>
      </c>
      <c r="D391" s="330" t="s">
        <v>175</v>
      </c>
    </row>
    <row r="392" spans="1:4" x14ac:dyDescent="0.3">
      <c r="A392" s="606"/>
      <c r="B392" s="174"/>
      <c r="C392" s="183"/>
      <c r="D392" s="329"/>
    </row>
    <row r="393" spans="1:4" ht="14.4" thickBot="1" x14ac:dyDescent="0.35">
      <c r="A393" s="606"/>
      <c r="B393" s="213"/>
      <c r="C393" s="214"/>
      <c r="D393" s="345"/>
    </row>
    <row r="394" spans="1:4" ht="31.5" customHeight="1" x14ac:dyDescent="0.3">
      <c r="A394" s="606"/>
      <c r="B394" s="327" t="s">
        <v>222</v>
      </c>
      <c r="C394" s="340">
        <f>C381+C383+C387+C388+C390</f>
        <v>366103.88146396802</v>
      </c>
      <c r="D394" s="346" t="s">
        <v>175</v>
      </c>
    </row>
    <row r="395" spans="1:4" ht="31.5" customHeight="1" x14ac:dyDescent="0.3">
      <c r="A395" s="251"/>
      <c r="B395" s="349" t="s">
        <v>238</v>
      </c>
      <c r="C395" s="350">
        <f>3000000/15</f>
        <v>200000</v>
      </c>
      <c r="D395" s="334" t="s">
        <v>81</v>
      </c>
    </row>
    <row r="396" spans="1:4" ht="31.5" customHeight="1" x14ac:dyDescent="0.3">
      <c r="A396" s="251"/>
      <c r="B396" s="327"/>
      <c r="C396" s="342"/>
      <c r="D396" s="346"/>
    </row>
    <row r="397" spans="1:4" ht="31.5" customHeight="1" x14ac:dyDescent="0.3">
      <c r="A397" s="251"/>
      <c r="B397" s="327" t="s">
        <v>268</v>
      </c>
      <c r="C397" s="342">
        <f>C394+C395</f>
        <v>566103.88146396796</v>
      </c>
      <c r="D397" s="346" t="s">
        <v>12</v>
      </c>
    </row>
    <row r="398" spans="1:4" ht="31.5" customHeight="1" thickBot="1" x14ac:dyDescent="0.35">
      <c r="A398" s="347"/>
      <c r="B398" s="201"/>
      <c r="C398" s="351"/>
      <c r="D398" s="352"/>
    </row>
    <row r="400" spans="1:4" ht="19.95" customHeight="1" thickBot="1" x14ac:dyDescent="0.35"/>
    <row r="401" spans="1:4" ht="111.75" customHeight="1" thickTop="1" thickBot="1" x14ac:dyDescent="0.35">
      <c r="A401" s="590" t="s">
        <v>176</v>
      </c>
      <c r="B401" s="608"/>
      <c r="C401" s="608"/>
      <c r="D401" s="609"/>
    </row>
    <row r="402" spans="1:4" ht="47.25" customHeight="1" thickTop="1" thickBot="1" x14ac:dyDescent="0.35">
      <c r="A402" s="586" t="s">
        <v>223</v>
      </c>
      <c r="B402" s="589" t="s">
        <v>177</v>
      </c>
      <c r="C402" s="589"/>
      <c r="D402" s="155"/>
    </row>
    <row r="403" spans="1:4" ht="19.95" customHeight="1" x14ac:dyDescent="0.35">
      <c r="A403" s="587"/>
      <c r="B403" s="152" t="s">
        <v>178</v>
      </c>
      <c r="C403" s="153" t="s">
        <v>173</v>
      </c>
      <c r="D403" s="154"/>
    </row>
    <row r="404" spans="1:4" ht="19.95" customHeight="1" x14ac:dyDescent="0.3">
      <c r="A404" s="587"/>
      <c r="B404" s="156" t="s">
        <v>179</v>
      </c>
      <c r="C404" s="157">
        <v>1633</v>
      </c>
      <c r="D404" s="158" t="s">
        <v>8</v>
      </c>
    </row>
    <row r="405" spans="1:4" ht="19.95" customHeight="1" x14ac:dyDescent="0.3">
      <c r="A405" s="587"/>
      <c r="B405" s="156" t="s">
        <v>126</v>
      </c>
      <c r="C405" s="157">
        <v>0</v>
      </c>
      <c r="D405" s="158" t="s">
        <v>10</v>
      </c>
    </row>
    <row r="406" spans="1:4" ht="19.95" customHeight="1" x14ac:dyDescent="0.3">
      <c r="A406" s="587"/>
      <c r="B406" s="159" t="s">
        <v>11</v>
      </c>
      <c r="C406" s="160">
        <f>C405*C404*12</f>
        <v>0</v>
      </c>
      <c r="D406" s="161" t="s">
        <v>175</v>
      </c>
    </row>
    <row r="407" spans="1:4" ht="19.95" customHeight="1" x14ac:dyDescent="0.3">
      <c r="A407" s="587"/>
      <c r="B407" s="162"/>
      <c r="C407" s="163"/>
      <c r="D407" s="158"/>
    </row>
    <row r="408" spans="1:4" ht="19.95" customHeight="1" x14ac:dyDescent="0.3">
      <c r="A408" s="587"/>
      <c r="B408" s="156" t="s">
        <v>116</v>
      </c>
      <c r="C408" s="164">
        <v>0</v>
      </c>
      <c r="D408" s="158" t="s">
        <v>80</v>
      </c>
    </row>
    <row r="409" spans="1:4" ht="19.95" customHeight="1" x14ac:dyDescent="0.3">
      <c r="A409" s="587"/>
      <c r="B409" s="156" t="s">
        <v>116</v>
      </c>
      <c r="C409" s="157">
        <f>C408*$C$26*12</f>
        <v>0</v>
      </c>
      <c r="D409" s="158" t="s">
        <v>81</v>
      </c>
    </row>
    <row r="410" spans="1:4" ht="19.95" customHeight="1" x14ac:dyDescent="0.3">
      <c r="A410" s="587"/>
      <c r="B410" s="156"/>
      <c r="C410" s="165"/>
      <c r="D410" s="158"/>
    </row>
    <row r="411" spans="1:4" ht="19.95" customHeight="1" x14ac:dyDescent="0.3">
      <c r="A411" s="587"/>
      <c r="B411" s="156" t="s">
        <v>82</v>
      </c>
      <c r="C411" s="163">
        <v>0</v>
      </c>
      <c r="D411" s="158" t="s">
        <v>80</v>
      </c>
    </row>
    <row r="412" spans="1:4" ht="19.95" customHeight="1" x14ac:dyDescent="0.3">
      <c r="A412" s="587"/>
      <c r="B412" s="156" t="s">
        <v>82</v>
      </c>
      <c r="C412" s="163">
        <f>C411*$C$26*12</f>
        <v>0</v>
      </c>
      <c r="D412" s="158" t="s">
        <v>81</v>
      </c>
    </row>
    <row r="413" spans="1:4" ht="19.95" customHeight="1" x14ac:dyDescent="0.3">
      <c r="A413" s="587"/>
      <c r="B413" s="156"/>
      <c r="C413" s="166"/>
      <c r="D413" s="158"/>
    </row>
    <row r="414" spans="1:4" ht="19.95" customHeight="1" x14ac:dyDescent="0.3">
      <c r="A414" s="587"/>
      <c r="B414" s="159" t="s">
        <v>180</v>
      </c>
      <c r="C414" s="160">
        <f>C406+C409</f>
        <v>0</v>
      </c>
      <c r="D414" s="161" t="s">
        <v>175</v>
      </c>
    </row>
    <row r="415" spans="1:4" ht="19.95" customHeight="1" x14ac:dyDescent="0.3">
      <c r="A415" s="587"/>
      <c r="B415" s="162"/>
      <c r="C415" s="167"/>
      <c r="D415" s="158"/>
    </row>
    <row r="416" spans="1:4" ht="19.95" customHeight="1" thickBot="1" x14ac:dyDescent="0.35">
      <c r="A416" s="587"/>
      <c r="B416" s="168"/>
      <c r="C416" s="169"/>
      <c r="D416" s="170"/>
    </row>
    <row r="417" spans="1:4" ht="34.5" customHeight="1" thickBot="1" x14ac:dyDescent="0.35">
      <c r="A417" s="588"/>
      <c r="B417" s="171" t="s">
        <v>220</v>
      </c>
      <c r="C417" s="172">
        <f>C414</f>
        <v>0</v>
      </c>
      <c r="D417" s="173" t="s">
        <v>175</v>
      </c>
    </row>
    <row r="418" spans="1:4" ht="19.95" customHeight="1" thickTop="1" x14ac:dyDescent="0.3"/>
    <row r="419" spans="1:4" ht="19.5" customHeight="1" x14ac:dyDescent="0.3"/>
    <row r="420" spans="1:4" ht="19.95" customHeight="1" x14ac:dyDescent="0.3"/>
  </sheetData>
  <mergeCells count="27">
    <mergeCell ref="A252:A271"/>
    <mergeCell ref="B252:C252"/>
    <mergeCell ref="A15:D15"/>
    <mergeCell ref="A16:A54"/>
    <mergeCell ref="A60:D60"/>
    <mergeCell ref="A61:A107"/>
    <mergeCell ref="A122:A149"/>
    <mergeCell ref="A157:A172"/>
    <mergeCell ref="B157:C157"/>
    <mergeCell ref="A173:D173"/>
    <mergeCell ref="A174:D174"/>
    <mergeCell ref="A175:A211"/>
    <mergeCell ref="A212:D212"/>
    <mergeCell ref="A213:A249"/>
    <mergeCell ref="A402:A417"/>
    <mergeCell ref="B402:C402"/>
    <mergeCell ref="A279:D279"/>
    <mergeCell ref="A280:A295"/>
    <mergeCell ref="B280:C280"/>
    <mergeCell ref="A296:D296"/>
    <mergeCell ref="A297:D297"/>
    <mergeCell ref="A298:A333"/>
    <mergeCell ref="A335:D335"/>
    <mergeCell ref="A336:A371"/>
    <mergeCell ref="A375:A394"/>
    <mergeCell ref="B375:C375"/>
    <mergeCell ref="A401:D401"/>
  </mergeCells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14"/>
  <sheetViews>
    <sheetView topLeftCell="A4" zoomScale="90" zoomScaleNormal="90" workbookViewId="0">
      <selection activeCell="E8" sqref="E8"/>
    </sheetView>
  </sheetViews>
  <sheetFormatPr defaultRowHeight="14.4" x14ac:dyDescent="0.3"/>
  <cols>
    <col min="2" max="2" width="10.6640625" customWidth="1"/>
    <col min="3" max="5" width="12.5546875" bestFit="1" customWidth="1"/>
    <col min="6" max="6" width="22.21875" bestFit="1" customWidth="1"/>
    <col min="7" max="7" width="7.6640625" bestFit="1" customWidth="1"/>
  </cols>
  <sheetData>
    <row r="1" spans="1:7" x14ac:dyDescent="0.3">
      <c r="A1" s="240" t="s">
        <v>261</v>
      </c>
    </row>
    <row r="2" spans="1:7" x14ac:dyDescent="0.3">
      <c r="D2" t="s">
        <v>8</v>
      </c>
      <c r="E2" t="s">
        <v>8</v>
      </c>
      <c r="F2" t="s">
        <v>8</v>
      </c>
    </row>
    <row r="3" spans="1:7" x14ac:dyDescent="0.3">
      <c r="C3" s="197"/>
      <c r="D3" s="270">
        <v>7300</v>
      </c>
      <c r="E3" s="270">
        <v>10400</v>
      </c>
      <c r="F3" s="270">
        <f>SUM(D3:E3)</f>
        <v>17700</v>
      </c>
      <c r="G3" s="197"/>
    </row>
    <row r="5" spans="1:7" x14ac:dyDescent="0.3">
      <c r="A5" s="240" t="s">
        <v>261</v>
      </c>
      <c r="D5" s="283" t="s">
        <v>186</v>
      </c>
      <c r="E5" s="283" t="s">
        <v>262</v>
      </c>
    </row>
    <row r="6" spans="1:7" x14ac:dyDescent="0.3">
      <c r="D6" s="370" t="s">
        <v>249</v>
      </c>
      <c r="E6" s="370" t="s">
        <v>249</v>
      </c>
    </row>
    <row r="7" spans="1:7" x14ac:dyDescent="0.3">
      <c r="A7" t="s">
        <v>250</v>
      </c>
      <c r="C7" s="197">
        <f>D7+E7</f>
        <v>496000</v>
      </c>
      <c r="D7" s="197">
        <v>250000</v>
      </c>
      <c r="E7" s="647">
        <v>246000</v>
      </c>
      <c r="F7" t="s">
        <v>251</v>
      </c>
    </row>
    <row r="8" spans="1:7" x14ac:dyDescent="0.3">
      <c r="D8" s="282">
        <f>D7/15</f>
        <v>16666.666666666668</v>
      </c>
      <c r="E8" s="282">
        <f>E7/15</f>
        <v>16400</v>
      </c>
      <c r="F8" t="s">
        <v>252</v>
      </c>
    </row>
    <row r="11" spans="1:7" x14ac:dyDescent="0.3">
      <c r="A11" t="s">
        <v>253</v>
      </c>
    </row>
    <row r="14" spans="1:7" x14ac:dyDescent="0.3">
      <c r="A14" t="s">
        <v>263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6FF99"/>
  </sheetPr>
  <dimension ref="B2:O39"/>
  <sheetViews>
    <sheetView workbookViewId="0"/>
  </sheetViews>
  <sheetFormatPr defaultColWidth="8.6640625" defaultRowHeight="13.8" x14ac:dyDescent="0.3"/>
  <cols>
    <col min="1" max="1" width="2.6640625" style="1" customWidth="1"/>
    <col min="2" max="2" width="27.44140625" style="1" bestFit="1" customWidth="1"/>
    <col min="3" max="3" width="16.44140625" style="1" customWidth="1"/>
    <col min="4" max="4" width="12.44140625" style="1" bestFit="1" customWidth="1"/>
    <col min="5" max="8" width="11.109375" style="1" bestFit="1" customWidth="1"/>
    <col min="9" max="9" width="10.44140625" style="1" bestFit="1" customWidth="1"/>
    <col min="10" max="14" width="8.6640625" style="1" bestFit="1" customWidth="1"/>
    <col min="15" max="16384" width="8.6640625" style="1"/>
  </cols>
  <sheetData>
    <row r="2" spans="2:15" x14ac:dyDescent="0.3">
      <c r="B2" s="2" t="s">
        <v>32</v>
      </c>
      <c r="C2" s="1" t="s">
        <v>76</v>
      </c>
      <c r="D2" s="36">
        <v>0</v>
      </c>
      <c r="E2" s="36">
        <v>1</v>
      </c>
      <c r="F2" s="36">
        <v>2</v>
      </c>
      <c r="G2" s="36">
        <v>3</v>
      </c>
      <c r="H2" s="36">
        <v>4</v>
      </c>
      <c r="I2" s="36">
        <v>5</v>
      </c>
      <c r="J2" s="36">
        <v>6</v>
      </c>
      <c r="K2" s="36">
        <v>7</v>
      </c>
      <c r="L2" s="36">
        <v>8</v>
      </c>
      <c r="M2" s="36">
        <v>9</v>
      </c>
      <c r="N2" s="36">
        <v>10</v>
      </c>
    </row>
    <row r="3" spans="2:15" x14ac:dyDescent="0.3">
      <c r="B3" s="1" t="s">
        <v>34</v>
      </c>
      <c r="C3" s="4">
        <f>SUM(D3:N3)</f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</row>
    <row r="4" spans="2:15" x14ac:dyDescent="0.3">
      <c r="B4" s="1" t="s">
        <v>35</v>
      </c>
      <c r="C4" s="4">
        <f>SUM(D4:N4)</f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2:15" x14ac:dyDescent="0.3">
      <c r="B5" s="1" t="s">
        <v>36</v>
      </c>
      <c r="C5" s="4">
        <f>SUM(D5:N5)</f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2:15" x14ac:dyDescent="0.3">
      <c r="B6" s="1" t="s">
        <v>37</v>
      </c>
      <c r="C6" s="4">
        <f>SUM(D6:N6)</f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2:15" x14ac:dyDescent="0.3">
      <c r="B7" s="2" t="s">
        <v>38</v>
      </c>
      <c r="C7" s="5">
        <f>SUM(D7:N7)</f>
        <v>0</v>
      </c>
      <c r="D7" s="5">
        <f>SUM(D3:D6)</f>
        <v>0</v>
      </c>
      <c r="E7" s="5">
        <f t="shared" ref="E7:N7" si="0">SUM(E3:E6)</f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</row>
    <row r="8" spans="2:15" x14ac:dyDescent="0.3">
      <c r="B8" s="7" t="s">
        <v>39</v>
      </c>
      <c r="C8" s="8">
        <f>C7*1.2</f>
        <v>0</v>
      </c>
    </row>
    <row r="9" spans="2:15" ht="14.4" x14ac:dyDescent="0.3">
      <c r="B9"/>
      <c r="C9" s="3"/>
      <c r="D9" s="3"/>
      <c r="E9" s="3"/>
      <c r="F9" s="3"/>
      <c r="G9" s="3"/>
      <c r="H9" s="3"/>
      <c r="I9" s="3"/>
      <c r="O9"/>
    </row>
    <row r="10" spans="2:15" ht="14.4" x14ac:dyDescent="0.3">
      <c r="B10" s="2" t="s">
        <v>102</v>
      </c>
      <c r="C10" s="1" t="s">
        <v>76</v>
      </c>
      <c r="D10" s="36">
        <v>0</v>
      </c>
      <c r="E10" s="36">
        <v>1</v>
      </c>
      <c r="F10" s="36">
        <v>2</v>
      </c>
      <c r="G10" s="36">
        <v>3</v>
      </c>
      <c r="H10" s="36">
        <v>4</v>
      </c>
      <c r="I10" s="36">
        <v>5</v>
      </c>
      <c r="J10" s="36">
        <v>6</v>
      </c>
      <c r="K10" s="36">
        <v>7</v>
      </c>
      <c r="L10" s="36">
        <v>8</v>
      </c>
      <c r="M10" s="36">
        <v>9</v>
      </c>
      <c r="N10" s="36">
        <v>10</v>
      </c>
      <c r="O10"/>
    </row>
    <row r="11" spans="2:15" ht="14.4" x14ac:dyDescent="0.3">
      <c r="B11" s="1" t="s">
        <v>34</v>
      </c>
      <c r="C11" s="4">
        <f>SUM(D11:N11)</f>
        <v>0</v>
      </c>
      <c r="D11" s="4">
        <v>0</v>
      </c>
      <c r="E11" s="4">
        <f>$C$13*E9</f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/>
    </row>
    <row r="12" spans="2:15" ht="14.4" x14ac:dyDescent="0.3">
      <c r="B12" s="1" t="s">
        <v>35</v>
      </c>
      <c r="C12" s="4">
        <f>SUM(D12:N12)</f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/>
    </row>
    <row r="13" spans="2:15" ht="14.4" x14ac:dyDescent="0.3">
      <c r="B13" s="1" t="s">
        <v>36</v>
      </c>
      <c r="C13" s="4">
        <f>SUM(D13:N13)</f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/>
    </row>
    <row r="14" spans="2:15" ht="14.4" x14ac:dyDescent="0.3">
      <c r="B14" s="1" t="s">
        <v>37</v>
      </c>
      <c r="C14" s="4">
        <f>SUM(D14:N14)</f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/>
    </row>
    <row r="15" spans="2:15" ht="14.4" x14ac:dyDescent="0.3">
      <c r="B15" s="2" t="s">
        <v>38</v>
      </c>
      <c r="C15" s="5">
        <f>SUM(D15:N15)</f>
        <v>0</v>
      </c>
      <c r="D15" s="5">
        <f>SUM(D11:D14)</f>
        <v>0</v>
      </c>
      <c r="E15" s="5">
        <f t="shared" ref="E15:N15" si="1">SUM(E11:E14)</f>
        <v>0</v>
      </c>
      <c r="F15" s="5">
        <f t="shared" si="1"/>
        <v>0</v>
      </c>
      <c r="G15" s="5">
        <f t="shared" si="1"/>
        <v>0</v>
      </c>
      <c r="H15" s="5">
        <f t="shared" si="1"/>
        <v>0</v>
      </c>
      <c r="I15" s="5">
        <f t="shared" si="1"/>
        <v>0</v>
      </c>
      <c r="J15" s="5">
        <f t="shared" si="1"/>
        <v>0</v>
      </c>
      <c r="K15" s="5">
        <f t="shared" si="1"/>
        <v>0</v>
      </c>
      <c r="L15" s="5">
        <f t="shared" si="1"/>
        <v>0</v>
      </c>
      <c r="M15" s="5">
        <f t="shared" si="1"/>
        <v>0</v>
      </c>
      <c r="N15" s="5">
        <f t="shared" si="1"/>
        <v>0</v>
      </c>
      <c r="O15"/>
    </row>
    <row r="16" spans="2:15" x14ac:dyDescent="0.3">
      <c r="B16" s="7" t="s">
        <v>39</v>
      </c>
      <c r="C16" s="8">
        <f>C15*1.2</f>
        <v>0</v>
      </c>
    </row>
    <row r="18" spans="2:14" x14ac:dyDescent="0.3">
      <c r="B18" s="2" t="s">
        <v>103</v>
      </c>
      <c r="C18" s="1" t="s">
        <v>76</v>
      </c>
      <c r="D18" s="36">
        <v>0</v>
      </c>
      <c r="E18" s="36">
        <v>1</v>
      </c>
      <c r="F18" s="36">
        <v>2</v>
      </c>
      <c r="G18" s="36">
        <v>3</v>
      </c>
      <c r="H18" s="36">
        <v>4</v>
      </c>
      <c r="I18" s="36">
        <v>5</v>
      </c>
      <c r="J18" s="36">
        <v>6</v>
      </c>
      <c r="K18" s="36">
        <v>7</v>
      </c>
      <c r="L18" s="36">
        <v>8</v>
      </c>
      <c r="M18" s="36">
        <v>9</v>
      </c>
      <c r="N18" s="36">
        <v>10</v>
      </c>
    </row>
    <row r="19" spans="2:14" x14ac:dyDescent="0.3">
      <c r="B19" s="1" t="s">
        <v>34</v>
      </c>
      <c r="C19" s="4">
        <f>SUM(D19:N19)</f>
        <v>0</v>
      </c>
      <c r="D19" s="4">
        <v>0</v>
      </c>
      <c r="E19" s="4">
        <f>$C$13*E17</f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2:14" x14ac:dyDescent="0.3">
      <c r="B20" s="1" t="s">
        <v>35</v>
      </c>
      <c r="C20" s="4">
        <f>SUM(D20:N20)</f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2:14" x14ac:dyDescent="0.3">
      <c r="B21" s="1" t="s">
        <v>25</v>
      </c>
      <c r="C21" s="4">
        <f>SUM(D21:N21)</f>
        <v>0</v>
      </c>
      <c r="D21" s="4">
        <v>0</v>
      </c>
      <c r="E21" s="4">
        <v>0</v>
      </c>
      <c r="F21" s="4">
        <f>$C$13*F17</f>
        <v>0</v>
      </c>
      <c r="G21" s="4">
        <f>$C$13*G17</f>
        <v>0</v>
      </c>
      <c r="H21" s="4">
        <f>$C$13*H17</f>
        <v>0</v>
      </c>
      <c r="I21" s="4">
        <f>$C$13*I17</f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2:14" x14ac:dyDescent="0.3">
      <c r="B22" s="1" t="s">
        <v>37</v>
      </c>
      <c r="C22" s="4">
        <f>SUM(D22:N22)</f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2:14" x14ac:dyDescent="0.3">
      <c r="B23" s="2" t="s">
        <v>38</v>
      </c>
      <c r="C23" s="5">
        <f>SUM(D23:N23)</f>
        <v>0</v>
      </c>
      <c r="D23" s="5">
        <f>SUM(D19:D22)</f>
        <v>0</v>
      </c>
      <c r="E23" s="5">
        <f t="shared" ref="E23:N23" si="2">SUM(E19:E22)</f>
        <v>0</v>
      </c>
      <c r="F23" s="5">
        <f t="shared" si="2"/>
        <v>0</v>
      </c>
      <c r="G23" s="5">
        <f t="shared" si="2"/>
        <v>0</v>
      </c>
      <c r="H23" s="5">
        <f t="shared" si="2"/>
        <v>0</v>
      </c>
      <c r="I23" s="5">
        <f t="shared" si="2"/>
        <v>0</v>
      </c>
      <c r="J23" s="5">
        <f t="shared" si="2"/>
        <v>0</v>
      </c>
      <c r="K23" s="5">
        <f t="shared" si="2"/>
        <v>0</v>
      </c>
      <c r="L23" s="5">
        <f t="shared" si="2"/>
        <v>0</v>
      </c>
      <c r="M23" s="5">
        <f t="shared" si="2"/>
        <v>0</v>
      </c>
      <c r="N23" s="5">
        <f t="shared" si="2"/>
        <v>0</v>
      </c>
    </row>
    <row r="26" spans="2:14" x14ac:dyDescent="0.3">
      <c r="B26" s="2" t="s">
        <v>104</v>
      </c>
      <c r="C26" s="1" t="s">
        <v>76</v>
      </c>
      <c r="D26" s="36">
        <v>0</v>
      </c>
      <c r="E26" s="36">
        <v>1</v>
      </c>
      <c r="F26" s="36">
        <v>2</v>
      </c>
      <c r="G26" s="36">
        <v>3</v>
      </c>
      <c r="H26" s="36">
        <v>4</v>
      </c>
      <c r="I26" s="36">
        <v>5</v>
      </c>
      <c r="J26" s="36">
        <v>6</v>
      </c>
      <c r="K26" s="36">
        <v>7</v>
      </c>
      <c r="L26" s="36">
        <v>8</v>
      </c>
      <c r="M26" s="36">
        <v>9</v>
      </c>
      <c r="N26" s="36">
        <v>10</v>
      </c>
    </row>
    <row r="27" spans="2:14" x14ac:dyDescent="0.3">
      <c r="B27" s="1" t="s">
        <v>34</v>
      </c>
      <c r="C27" s="4">
        <f>SUM(D27:N27)</f>
        <v>0</v>
      </c>
      <c r="D27" s="4">
        <v>0</v>
      </c>
      <c r="E27" s="4">
        <f>$C$13*E25</f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2:14" x14ac:dyDescent="0.3">
      <c r="B28" s="1" t="s">
        <v>35</v>
      </c>
      <c r="C28" s="4">
        <f>SUM(D28:N28)</f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2:14" x14ac:dyDescent="0.3">
      <c r="B29" s="1" t="s">
        <v>25</v>
      </c>
      <c r="C29" s="4">
        <f>SUM(D29:N29)</f>
        <v>0</v>
      </c>
      <c r="D29" s="4">
        <v>0</v>
      </c>
      <c r="E29" s="4">
        <v>0</v>
      </c>
      <c r="F29" s="4">
        <v>0</v>
      </c>
      <c r="G29" s="4">
        <f>$C$13*G25</f>
        <v>0</v>
      </c>
      <c r="H29" s="4">
        <f>$C$13*H25</f>
        <v>0</v>
      </c>
      <c r="I29" s="4">
        <f>$C$13*I25</f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2:14" x14ac:dyDescent="0.3">
      <c r="B30" s="1" t="s">
        <v>37</v>
      </c>
      <c r="C30" s="4">
        <f>SUM(D30:N30)</f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2:14" x14ac:dyDescent="0.3">
      <c r="B31" s="2" t="s">
        <v>38</v>
      </c>
      <c r="C31" s="5">
        <f>SUM(D31:N31)</f>
        <v>0</v>
      </c>
      <c r="D31" s="5">
        <f>SUM(D27:D30)</f>
        <v>0</v>
      </c>
      <c r="E31" s="5">
        <f t="shared" ref="E31:N31" si="3">SUM(E27:E30)</f>
        <v>0</v>
      </c>
      <c r="F31" s="5">
        <f t="shared" si="3"/>
        <v>0</v>
      </c>
      <c r="G31" s="5">
        <f t="shared" si="3"/>
        <v>0</v>
      </c>
      <c r="H31" s="5">
        <f t="shared" si="3"/>
        <v>0</v>
      </c>
      <c r="I31" s="5">
        <f t="shared" si="3"/>
        <v>0</v>
      </c>
      <c r="J31" s="5">
        <f t="shared" si="3"/>
        <v>0</v>
      </c>
      <c r="K31" s="5">
        <f t="shared" si="3"/>
        <v>0</v>
      </c>
      <c r="L31" s="5">
        <f t="shared" si="3"/>
        <v>0</v>
      </c>
      <c r="M31" s="5">
        <f t="shared" si="3"/>
        <v>0</v>
      </c>
      <c r="N31" s="5">
        <f t="shared" si="3"/>
        <v>0</v>
      </c>
    </row>
    <row r="34" spans="2:14" x14ac:dyDescent="0.3">
      <c r="B34" s="2" t="s">
        <v>109</v>
      </c>
      <c r="C34" s="1" t="s">
        <v>76</v>
      </c>
      <c r="D34" s="36">
        <v>0</v>
      </c>
      <c r="E34" s="36">
        <v>1</v>
      </c>
      <c r="F34" s="36">
        <v>2</v>
      </c>
      <c r="G34" s="36">
        <v>3</v>
      </c>
      <c r="H34" s="36">
        <v>4</v>
      </c>
      <c r="I34" s="36">
        <v>5</v>
      </c>
      <c r="J34" s="36">
        <v>6</v>
      </c>
      <c r="K34" s="36">
        <v>7</v>
      </c>
      <c r="L34" s="36">
        <v>8</v>
      </c>
      <c r="M34" s="36">
        <v>9</v>
      </c>
      <c r="N34" s="36">
        <v>10</v>
      </c>
    </row>
    <row r="35" spans="2:14" x14ac:dyDescent="0.3">
      <c r="B35" s="1" t="s">
        <v>34</v>
      </c>
      <c r="C35" s="4">
        <f>SUM(D35:N35)</f>
        <v>0</v>
      </c>
      <c r="D35" s="4">
        <v>0</v>
      </c>
      <c r="E35" s="4">
        <f>$C$13*E33</f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</row>
    <row r="36" spans="2:14" x14ac:dyDescent="0.3">
      <c r="B36" s="1" t="s">
        <v>35</v>
      </c>
      <c r="C36" s="4">
        <f>SUM(D36:N36)</f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</row>
    <row r="37" spans="2:14" x14ac:dyDescent="0.3">
      <c r="B37" s="1" t="s">
        <v>25</v>
      </c>
      <c r="C37" s="4">
        <f>SUM(D37:N37)</f>
        <v>0</v>
      </c>
      <c r="D37" s="4">
        <v>0</v>
      </c>
      <c r="E37" s="4">
        <v>0</v>
      </c>
      <c r="F37" s="4">
        <f>$C$13*F33</f>
        <v>0</v>
      </c>
      <c r="G37" s="4">
        <f>$C$13*G33</f>
        <v>0</v>
      </c>
      <c r="H37" s="4">
        <f>$C$13*H33</f>
        <v>0</v>
      </c>
      <c r="I37" s="4">
        <f>$C$13*I33</f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</row>
    <row r="38" spans="2:14" x14ac:dyDescent="0.3">
      <c r="B38" s="1" t="s">
        <v>37</v>
      </c>
      <c r="C38" s="4">
        <f>SUM(D38:N38)</f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</row>
    <row r="39" spans="2:14" x14ac:dyDescent="0.3">
      <c r="B39" s="2" t="s">
        <v>38</v>
      </c>
      <c r="C39" s="5">
        <f>SUM(D39:N39)</f>
        <v>0</v>
      </c>
      <c r="D39" s="5">
        <f>SUM(D35:D38)</f>
        <v>0</v>
      </c>
      <c r="E39" s="5">
        <f t="shared" ref="E39:N39" si="4">SUM(E35:E38)</f>
        <v>0</v>
      </c>
      <c r="F39" s="5">
        <f t="shared" si="4"/>
        <v>0</v>
      </c>
      <c r="G39" s="5">
        <f t="shared" si="4"/>
        <v>0</v>
      </c>
      <c r="H39" s="5">
        <f t="shared" si="4"/>
        <v>0</v>
      </c>
      <c r="I39" s="5">
        <f t="shared" si="4"/>
        <v>0</v>
      </c>
      <c r="J39" s="5">
        <f t="shared" si="4"/>
        <v>0</v>
      </c>
      <c r="K39" s="5">
        <f t="shared" si="4"/>
        <v>0</v>
      </c>
      <c r="L39" s="5">
        <f t="shared" si="4"/>
        <v>0</v>
      </c>
      <c r="M39" s="5">
        <f t="shared" si="4"/>
        <v>0</v>
      </c>
      <c r="N39" s="5">
        <f t="shared" si="4"/>
        <v>0</v>
      </c>
    </row>
  </sheetData>
  <pageMargins left="0.7" right="0.7" top="0.75" bottom="0.75" header="0.3" footer="0.3"/>
  <pageSetup paperSize="9" orientation="portrait" horizontalDpi="90" verticalDpi="90" r:id="rId1"/>
  <ignoredErrors>
    <ignoredError sqref="D15:N15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66FF99"/>
  </sheetPr>
  <dimension ref="B2:H27"/>
  <sheetViews>
    <sheetView workbookViewId="0"/>
  </sheetViews>
  <sheetFormatPr defaultColWidth="9.109375" defaultRowHeight="13.8" x14ac:dyDescent="0.3"/>
  <cols>
    <col min="1" max="1" width="2.6640625" style="6" customWidth="1"/>
    <col min="2" max="2" width="67.109375" style="6" bestFit="1" customWidth="1"/>
    <col min="3" max="3" width="12.6640625" style="6" customWidth="1"/>
    <col min="4" max="4" width="25.44140625" style="6" customWidth="1"/>
    <col min="5" max="5" width="15.109375" style="6" bestFit="1" customWidth="1"/>
    <col min="6" max="6" width="11.109375" style="6" bestFit="1" customWidth="1"/>
    <col min="7" max="7" width="19.6640625" style="6" customWidth="1"/>
    <col min="8" max="8" width="16.44140625" style="6" bestFit="1" customWidth="1"/>
    <col min="9" max="29" width="9.44140625" style="6" customWidth="1"/>
    <col min="30" max="30" width="7.44140625" style="6" customWidth="1"/>
    <col min="31" max="31" width="7.6640625" style="6" customWidth="1"/>
    <col min="32" max="33" width="7.44140625" style="6" customWidth="1"/>
    <col min="34" max="34" width="7.6640625" style="6" customWidth="1"/>
    <col min="35" max="16384" width="9.109375" style="6"/>
  </cols>
  <sheetData>
    <row r="2" spans="2:8" x14ac:dyDescent="0.3">
      <c r="B2" s="9" t="s">
        <v>40</v>
      </c>
      <c r="G2" s="10"/>
      <c r="H2" s="10"/>
    </row>
    <row r="3" spans="2:8" ht="41.4" x14ac:dyDescent="0.3">
      <c r="B3" s="11" t="s">
        <v>41</v>
      </c>
      <c r="C3" s="12" t="s">
        <v>42</v>
      </c>
      <c r="D3" s="12" t="s">
        <v>43</v>
      </c>
      <c r="E3" s="12" t="s">
        <v>44</v>
      </c>
      <c r="F3" s="12" t="s">
        <v>79</v>
      </c>
      <c r="G3" s="12" t="s">
        <v>77</v>
      </c>
      <c r="H3" s="12" t="s">
        <v>78</v>
      </c>
    </row>
    <row r="4" spans="2:8" x14ac:dyDescent="0.3">
      <c r="B4" s="21" t="s">
        <v>46</v>
      </c>
      <c r="C4" s="22"/>
      <c r="D4" s="22"/>
      <c r="E4" s="22"/>
      <c r="F4" s="22"/>
      <c r="G4" s="22"/>
      <c r="H4" s="22"/>
    </row>
    <row r="5" spans="2:8" x14ac:dyDescent="0.3">
      <c r="B5" s="13" t="s">
        <v>47</v>
      </c>
      <c r="C5" s="14" t="s">
        <v>48</v>
      </c>
      <c r="D5" s="15">
        <v>25</v>
      </c>
      <c r="E5" s="14" t="s">
        <v>48</v>
      </c>
      <c r="F5" s="16">
        <v>1</v>
      </c>
      <c r="G5" s="17">
        <f>'01 Investičné výdavky'!C4*F5</f>
        <v>0</v>
      </c>
      <c r="H5" s="17"/>
    </row>
    <row r="6" spans="2:8" x14ac:dyDescent="0.3">
      <c r="B6" s="13" t="s">
        <v>49</v>
      </c>
      <c r="C6" s="18">
        <v>60</v>
      </c>
      <c r="D6" s="15">
        <v>25</v>
      </c>
      <c r="E6" s="18">
        <f>C6</f>
        <v>60</v>
      </c>
      <c r="F6" s="19">
        <f>(E6-D6)/C6</f>
        <v>0.58333333333333337</v>
      </c>
      <c r="G6" s="17">
        <f>'01 Investičné výdavky'!C5*F6</f>
        <v>0</v>
      </c>
      <c r="H6" s="17" t="e">
        <f>G6*#REF!</f>
        <v>#REF!</v>
      </c>
    </row>
    <row r="7" spans="2:8" x14ac:dyDescent="0.3">
      <c r="B7" s="9" t="s">
        <v>45</v>
      </c>
      <c r="G7" s="20">
        <f>SUM(G5:G6)</f>
        <v>0</v>
      </c>
      <c r="H7" s="20" t="e">
        <f>SUM(H5:H6)</f>
        <v>#REF!</v>
      </c>
    </row>
    <row r="9" spans="2:8" x14ac:dyDescent="0.3">
      <c r="B9" s="21" t="s">
        <v>50</v>
      </c>
      <c r="C9" s="22"/>
      <c r="D9" s="22"/>
      <c r="E9" s="22"/>
      <c r="F9" s="22"/>
      <c r="G9" s="22"/>
      <c r="H9" s="22"/>
    </row>
    <row r="10" spans="2:8" x14ac:dyDescent="0.3">
      <c r="B10" s="13" t="s">
        <v>47</v>
      </c>
      <c r="C10" s="14" t="s">
        <v>48</v>
      </c>
      <c r="D10" s="15">
        <v>25</v>
      </c>
      <c r="E10" s="14" t="s">
        <v>48</v>
      </c>
      <c r="F10" s="16">
        <v>1</v>
      </c>
      <c r="G10" s="17">
        <f>'01 Investičné výdavky'!C12*F10</f>
        <v>0</v>
      </c>
      <c r="H10" s="17"/>
    </row>
    <row r="11" spans="2:8" x14ac:dyDescent="0.3">
      <c r="B11" s="13" t="s">
        <v>49</v>
      </c>
      <c r="C11" s="18">
        <v>60</v>
      </c>
      <c r="D11" s="15">
        <v>25</v>
      </c>
      <c r="E11" s="18">
        <f>C11</f>
        <v>60</v>
      </c>
      <c r="F11" s="19">
        <f>(E11-D11)/C11</f>
        <v>0.58333333333333337</v>
      </c>
      <c r="G11" s="17">
        <f>'01 Investičné výdavky'!C13*F11</f>
        <v>0</v>
      </c>
      <c r="H11" s="17" t="e">
        <f>G11*#REF!</f>
        <v>#REF!</v>
      </c>
    </row>
    <row r="12" spans="2:8" x14ac:dyDescent="0.3">
      <c r="B12" s="9" t="s">
        <v>45</v>
      </c>
      <c r="G12" s="20">
        <f>SUM(G10:G11)</f>
        <v>0</v>
      </c>
      <c r="H12" s="20" t="e">
        <f>SUM(H10:H11)</f>
        <v>#REF!</v>
      </c>
    </row>
    <row r="14" spans="2:8" x14ac:dyDescent="0.3">
      <c r="B14" s="21" t="s">
        <v>51</v>
      </c>
      <c r="C14" s="22"/>
      <c r="D14" s="22"/>
      <c r="E14" s="22"/>
      <c r="F14" s="22"/>
      <c r="G14" s="22"/>
      <c r="H14" s="22"/>
    </row>
    <row r="15" spans="2:8" x14ac:dyDescent="0.3">
      <c r="B15" s="13" t="s">
        <v>47</v>
      </c>
      <c r="C15" s="14" t="s">
        <v>48</v>
      </c>
      <c r="D15" s="15">
        <v>25</v>
      </c>
      <c r="E15" s="14" t="s">
        <v>48</v>
      </c>
      <c r="F15" s="16">
        <v>1</v>
      </c>
      <c r="G15" s="17">
        <f>'01 Investičné výdavky'!C17*F15</f>
        <v>0</v>
      </c>
      <c r="H15" s="17"/>
    </row>
    <row r="16" spans="2:8" x14ac:dyDescent="0.3">
      <c r="B16" s="13" t="s">
        <v>49</v>
      </c>
      <c r="C16" s="18">
        <v>60</v>
      </c>
      <c r="D16" s="15">
        <v>25</v>
      </c>
      <c r="E16" s="18">
        <f>C16</f>
        <v>60</v>
      </c>
      <c r="F16" s="19">
        <f>(E16-D16)/C16</f>
        <v>0.58333333333333337</v>
      </c>
      <c r="G16" s="17">
        <v>0</v>
      </c>
      <c r="H16" s="17" t="e">
        <f>G16*#REF!</f>
        <v>#REF!</v>
      </c>
    </row>
    <row r="17" spans="2:8" x14ac:dyDescent="0.3">
      <c r="B17" s="9" t="s">
        <v>45</v>
      </c>
      <c r="G17" s="20">
        <f>SUM(G15:G16)</f>
        <v>0</v>
      </c>
      <c r="H17" s="20" t="e">
        <f>SUM(H15:H16)</f>
        <v>#REF!</v>
      </c>
    </row>
    <row r="19" spans="2:8" x14ac:dyDescent="0.3">
      <c r="B19" s="21" t="s">
        <v>105</v>
      </c>
      <c r="C19" s="22"/>
      <c r="D19" s="22"/>
      <c r="E19" s="22"/>
      <c r="F19" s="22"/>
      <c r="G19" s="22"/>
      <c r="H19" s="22"/>
    </row>
    <row r="20" spans="2:8" x14ac:dyDescent="0.3">
      <c r="B20" s="13" t="s">
        <v>47</v>
      </c>
      <c r="C20" s="14" t="s">
        <v>48</v>
      </c>
      <c r="D20" s="15">
        <v>25</v>
      </c>
      <c r="E20" s="14" t="s">
        <v>48</v>
      </c>
      <c r="F20" s="16">
        <v>1</v>
      </c>
      <c r="G20" s="17">
        <f>'01 Investičné výdavky'!C22*F20</f>
        <v>0</v>
      </c>
      <c r="H20" s="17"/>
    </row>
    <row r="21" spans="2:8" x14ac:dyDescent="0.3">
      <c r="B21" s="13" t="s">
        <v>49</v>
      </c>
      <c r="C21" s="18">
        <v>60</v>
      </c>
      <c r="D21" s="15">
        <v>25</v>
      </c>
      <c r="E21" s="18">
        <f>C21</f>
        <v>60</v>
      </c>
      <c r="F21" s="19">
        <f>(E21-D21)/C21</f>
        <v>0.58333333333333337</v>
      </c>
      <c r="G21" s="17">
        <v>0</v>
      </c>
      <c r="H21" s="17" t="e">
        <f>G21*#REF!</f>
        <v>#REF!</v>
      </c>
    </row>
    <row r="22" spans="2:8" x14ac:dyDescent="0.3">
      <c r="B22" s="9" t="s">
        <v>45</v>
      </c>
      <c r="G22" s="20">
        <f>SUM(G20:G21)</f>
        <v>0</v>
      </c>
      <c r="H22" s="20" t="e">
        <f>SUM(H20:H21)</f>
        <v>#REF!</v>
      </c>
    </row>
    <row r="24" spans="2:8" x14ac:dyDescent="0.3">
      <c r="B24" s="21" t="s">
        <v>110</v>
      </c>
      <c r="C24" s="22"/>
      <c r="D24" s="22"/>
      <c r="E24" s="22"/>
      <c r="F24" s="22"/>
      <c r="G24" s="22"/>
      <c r="H24" s="22"/>
    </row>
    <row r="25" spans="2:8" x14ac:dyDescent="0.3">
      <c r="B25" s="13" t="s">
        <v>47</v>
      </c>
      <c r="C25" s="14" t="s">
        <v>48</v>
      </c>
      <c r="D25" s="15">
        <v>25</v>
      </c>
      <c r="E25" s="14" t="s">
        <v>48</v>
      </c>
      <c r="F25" s="16">
        <v>1</v>
      </c>
      <c r="G25" s="17">
        <f>'01 Investičné výdavky'!C27*F25</f>
        <v>0</v>
      </c>
      <c r="H25" s="17"/>
    </row>
    <row r="26" spans="2:8" x14ac:dyDescent="0.3">
      <c r="B26" s="13" t="s">
        <v>49</v>
      </c>
      <c r="C26" s="18">
        <v>60</v>
      </c>
      <c r="D26" s="15">
        <v>25</v>
      </c>
      <c r="E26" s="18">
        <f>C26</f>
        <v>60</v>
      </c>
      <c r="F26" s="19">
        <f>(E26-D26)/C26</f>
        <v>0.58333333333333337</v>
      </c>
      <c r="G26" s="17">
        <v>0</v>
      </c>
      <c r="H26" s="17" t="e">
        <f>G26*#REF!</f>
        <v>#REF!</v>
      </c>
    </row>
    <row r="27" spans="2:8" x14ac:dyDescent="0.3">
      <c r="B27" s="9" t="s">
        <v>45</v>
      </c>
      <c r="G27" s="20">
        <f>SUM(G25:G26)</f>
        <v>0</v>
      </c>
      <c r="H27" s="20" t="e">
        <f>SUM(H25:H26)</f>
        <v>#REF!</v>
      </c>
    </row>
  </sheetData>
  <pageMargins left="0.19685039370078741" right="0.19685039370078741" top="0.98425196850393704" bottom="0.78740157480314965" header="0.51181102362204722" footer="0.51181102362204722"/>
  <pageSetup scale="75" orientation="landscape" r:id="rId1"/>
  <headerFooter alignWithMargins="0">
    <oddHeader>&amp;LPríloha 7: Štandardné tabuľky - Cesty
&amp;"Arial,Tučné"&amp;12 02 Zostatková hodnota</oddHeader>
    <oddFooter>Strana &amp;P z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66FF99"/>
  </sheetPr>
  <dimension ref="A1:R30"/>
  <sheetViews>
    <sheetView workbookViewId="0"/>
  </sheetViews>
  <sheetFormatPr defaultColWidth="9.109375" defaultRowHeight="10.199999999999999" x14ac:dyDescent="0.2"/>
  <cols>
    <col min="1" max="1" width="2.6640625" style="28" customWidth="1"/>
    <col min="2" max="2" width="22.6640625" style="28" customWidth="1"/>
    <col min="3" max="3" width="10.6640625" style="28" customWidth="1"/>
    <col min="4" max="18" width="9.33203125" style="28" bestFit="1" customWidth="1"/>
    <col min="19" max="16384" width="9.109375" style="28"/>
  </cols>
  <sheetData>
    <row r="1" spans="1:18" ht="13.8" x14ac:dyDescent="0.3">
      <c r="A1" s="6"/>
      <c r="B1" s="6"/>
      <c r="C1" s="6"/>
      <c r="D1" s="6" t="s">
        <v>52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3.8" x14ac:dyDescent="0.3">
      <c r="A2" s="6"/>
      <c r="B2" s="9" t="s">
        <v>46</v>
      </c>
      <c r="C2" s="9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6">
        <v>11</v>
      </c>
      <c r="O2" s="6">
        <v>12</v>
      </c>
      <c r="P2" s="6">
        <v>13</v>
      </c>
      <c r="Q2" s="6">
        <v>14</v>
      </c>
      <c r="R2" s="6">
        <v>15</v>
      </c>
    </row>
    <row r="3" spans="1:18" ht="13.8" x14ac:dyDescent="0.3">
      <c r="A3" s="6"/>
      <c r="B3" s="23" t="s">
        <v>53</v>
      </c>
      <c r="C3" s="23" t="s">
        <v>33</v>
      </c>
      <c r="D3" s="24">
        <v>2024</v>
      </c>
      <c r="E3" s="24">
        <f>$D$3+D2</f>
        <v>2025</v>
      </c>
      <c r="F3" s="24">
        <f>$D$3+E2</f>
        <v>2026</v>
      </c>
      <c r="G3" s="24">
        <f>$D$3+F2</f>
        <v>2027</v>
      </c>
      <c r="H3" s="24">
        <f t="shared" ref="H3:R3" si="0">$D$3+G2</f>
        <v>2028</v>
      </c>
      <c r="I3" s="24">
        <f t="shared" si="0"/>
        <v>2029</v>
      </c>
      <c r="J3" s="24">
        <f t="shared" si="0"/>
        <v>2030</v>
      </c>
      <c r="K3" s="24">
        <f t="shared" si="0"/>
        <v>2031</v>
      </c>
      <c r="L3" s="24">
        <f t="shared" si="0"/>
        <v>2032</v>
      </c>
      <c r="M3" s="24">
        <f t="shared" si="0"/>
        <v>2033</v>
      </c>
      <c r="N3" s="24">
        <f t="shared" si="0"/>
        <v>2034</v>
      </c>
      <c r="O3" s="24">
        <f t="shared" si="0"/>
        <v>2035</v>
      </c>
      <c r="P3" s="24">
        <f t="shared" si="0"/>
        <v>2036</v>
      </c>
      <c r="Q3" s="24">
        <f t="shared" si="0"/>
        <v>2037</v>
      </c>
      <c r="R3" s="24">
        <f t="shared" si="0"/>
        <v>2038</v>
      </c>
    </row>
    <row r="4" spans="1:18" ht="13.8" x14ac:dyDescent="0.3">
      <c r="A4" s="6"/>
      <c r="B4" s="6" t="s">
        <v>60</v>
      </c>
      <c r="C4" s="17">
        <f>SUM(D4:R4)</f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</row>
    <row r="5" spans="1:18" ht="13.8" x14ac:dyDescent="0.3">
      <c r="A5" s="6"/>
      <c r="B5" s="6" t="s">
        <v>61</v>
      </c>
      <c r="C5" s="17" t="e">
        <f>SUM(D5:R5)</f>
        <v>#REF!</v>
      </c>
      <c r="D5" s="25" t="e">
        <f>#REF!</f>
        <v>#REF!</v>
      </c>
      <c r="E5" s="25" t="e">
        <f>D5</f>
        <v>#REF!</v>
      </c>
      <c r="F5" s="25" t="e">
        <f t="shared" ref="F5:R5" si="1">E5</f>
        <v>#REF!</v>
      </c>
      <c r="G5" s="25" t="e">
        <f t="shared" si="1"/>
        <v>#REF!</v>
      </c>
      <c r="H5" s="25" t="e">
        <f t="shared" si="1"/>
        <v>#REF!</v>
      </c>
      <c r="I5" s="25" t="e">
        <f t="shared" si="1"/>
        <v>#REF!</v>
      </c>
      <c r="J5" s="25" t="e">
        <f t="shared" si="1"/>
        <v>#REF!</v>
      </c>
      <c r="K5" s="25" t="e">
        <f t="shared" si="1"/>
        <v>#REF!</v>
      </c>
      <c r="L5" s="25" t="e">
        <f t="shared" si="1"/>
        <v>#REF!</v>
      </c>
      <c r="M5" s="25" t="e">
        <f t="shared" si="1"/>
        <v>#REF!</v>
      </c>
      <c r="N5" s="25" t="e">
        <f t="shared" si="1"/>
        <v>#REF!</v>
      </c>
      <c r="O5" s="25" t="e">
        <f t="shared" si="1"/>
        <v>#REF!</v>
      </c>
      <c r="P5" s="25" t="e">
        <f t="shared" si="1"/>
        <v>#REF!</v>
      </c>
      <c r="Q5" s="25" t="e">
        <f t="shared" si="1"/>
        <v>#REF!</v>
      </c>
      <c r="R5" s="25" t="e">
        <f t="shared" si="1"/>
        <v>#REF!</v>
      </c>
    </row>
    <row r="6" spans="1:18" ht="13.8" x14ac:dyDescent="0.3">
      <c r="A6" s="6"/>
      <c r="B6" s="9" t="s">
        <v>62</v>
      </c>
      <c r="C6" s="20" t="e">
        <f>SUM(D6:R6)</f>
        <v>#REF!</v>
      </c>
      <c r="D6" s="20" t="e">
        <f t="shared" ref="D6:R6" si="2">SUM(D4:D5)</f>
        <v>#REF!</v>
      </c>
      <c r="E6" s="20" t="e">
        <f t="shared" si="2"/>
        <v>#REF!</v>
      </c>
      <c r="F6" s="20" t="e">
        <f t="shared" si="2"/>
        <v>#REF!</v>
      </c>
      <c r="G6" s="20" t="e">
        <f t="shared" si="2"/>
        <v>#REF!</v>
      </c>
      <c r="H6" s="20" t="e">
        <f t="shared" si="2"/>
        <v>#REF!</v>
      </c>
      <c r="I6" s="20" t="e">
        <f t="shared" si="2"/>
        <v>#REF!</v>
      </c>
      <c r="J6" s="20" t="e">
        <f t="shared" si="2"/>
        <v>#REF!</v>
      </c>
      <c r="K6" s="20" t="e">
        <f t="shared" si="2"/>
        <v>#REF!</v>
      </c>
      <c r="L6" s="20" t="e">
        <f t="shared" si="2"/>
        <v>#REF!</v>
      </c>
      <c r="M6" s="20" t="e">
        <f t="shared" si="2"/>
        <v>#REF!</v>
      </c>
      <c r="N6" s="20" t="e">
        <f t="shared" si="2"/>
        <v>#REF!</v>
      </c>
      <c r="O6" s="20" t="e">
        <f t="shared" si="2"/>
        <v>#REF!</v>
      </c>
      <c r="P6" s="20" t="e">
        <f t="shared" si="2"/>
        <v>#REF!</v>
      </c>
      <c r="Q6" s="20" t="e">
        <f t="shared" si="2"/>
        <v>#REF!</v>
      </c>
      <c r="R6" s="20" t="e">
        <f t="shared" si="2"/>
        <v>#REF!</v>
      </c>
    </row>
    <row r="7" spans="1:18" ht="13.8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3.8" x14ac:dyDescent="0.3">
      <c r="A8" s="6"/>
      <c r="B8" s="9" t="s">
        <v>50</v>
      </c>
      <c r="C8" s="9"/>
      <c r="D8" s="27">
        <v>1</v>
      </c>
      <c r="E8" s="27">
        <v>2</v>
      </c>
      <c r="F8" s="27">
        <v>3</v>
      </c>
      <c r="G8" s="27">
        <v>4</v>
      </c>
      <c r="H8" s="27">
        <v>5</v>
      </c>
      <c r="I8" s="27">
        <v>6</v>
      </c>
      <c r="J8" s="27">
        <v>7</v>
      </c>
      <c r="K8" s="27">
        <v>8</v>
      </c>
      <c r="L8" s="27">
        <v>9</v>
      </c>
      <c r="M8" s="27">
        <v>10</v>
      </c>
      <c r="N8" s="27">
        <v>11</v>
      </c>
      <c r="O8" s="27">
        <v>12</v>
      </c>
      <c r="P8" s="27">
        <v>13</v>
      </c>
      <c r="Q8" s="27">
        <v>14</v>
      </c>
      <c r="R8" s="27">
        <v>15</v>
      </c>
    </row>
    <row r="9" spans="1:18" ht="13.8" x14ac:dyDescent="0.3">
      <c r="A9" s="6"/>
      <c r="B9" s="23" t="s">
        <v>108</v>
      </c>
      <c r="C9" s="23" t="s">
        <v>33</v>
      </c>
      <c r="D9" s="24">
        <f>D3</f>
        <v>2024</v>
      </c>
      <c r="E9" s="24">
        <f>$D$3+D8</f>
        <v>2025</v>
      </c>
      <c r="F9" s="24">
        <f>$D$3+E8</f>
        <v>2026</v>
      </c>
      <c r="G9" s="24">
        <f>$D$3+F8</f>
        <v>2027</v>
      </c>
      <c r="H9" s="24">
        <f t="shared" ref="H9:R9" si="3">$D$3+G8</f>
        <v>2028</v>
      </c>
      <c r="I9" s="24">
        <f t="shared" si="3"/>
        <v>2029</v>
      </c>
      <c r="J9" s="24">
        <f t="shared" si="3"/>
        <v>2030</v>
      </c>
      <c r="K9" s="24">
        <f t="shared" si="3"/>
        <v>2031</v>
      </c>
      <c r="L9" s="24">
        <f t="shared" si="3"/>
        <v>2032</v>
      </c>
      <c r="M9" s="24">
        <f t="shared" si="3"/>
        <v>2033</v>
      </c>
      <c r="N9" s="24">
        <f t="shared" si="3"/>
        <v>2034</v>
      </c>
      <c r="O9" s="24">
        <f t="shared" si="3"/>
        <v>2035</v>
      </c>
      <c r="P9" s="24">
        <f t="shared" si="3"/>
        <v>2036</v>
      </c>
      <c r="Q9" s="24">
        <f t="shared" si="3"/>
        <v>2037</v>
      </c>
      <c r="R9" s="24">
        <f t="shared" si="3"/>
        <v>2038</v>
      </c>
    </row>
    <row r="10" spans="1:18" ht="13.8" x14ac:dyDescent="0.3">
      <c r="A10" s="6"/>
      <c r="B10" s="6" t="s">
        <v>60</v>
      </c>
      <c r="C10" s="17">
        <f>SUM(D10:R10)</f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</row>
    <row r="11" spans="1:18" ht="13.8" x14ac:dyDescent="0.3">
      <c r="A11" s="6"/>
      <c r="B11" s="6" t="s">
        <v>61</v>
      </c>
      <c r="C11" s="17" t="e">
        <f>SUM(D11:R11)</f>
        <v>#REF!</v>
      </c>
      <c r="D11" s="25" t="e">
        <f>#REF!</f>
        <v>#REF!</v>
      </c>
      <c r="E11" s="25" t="e">
        <f>D11</f>
        <v>#REF!</v>
      </c>
      <c r="F11" s="25" t="e">
        <f t="shared" ref="F11:R11" si="4">E11</f>
        <v>#REF!</v>
      </c>
      <c r="G11" s="25" t="e">
        <f t="shared" si="4"/>
        <v>#REF!</v>
      </c>
      <c r="H11" s="25" t="e">
        <f t="shared" si="4"/>
        <v>#REF!</v>
      </c>
      <c r="I11" s="25" t="e">
        <f t="shared" si="4"/>
        <v>#REF!</v>
      </c>
      <c r="J11" s="25" t="e">
        <f t="shared" si="4"/>
        <v>#REF!</v>
      </c>
      <c r="K11" s="25" t="e">
        <f t="shared" si="4"/>
        <v>#REF!</v>
      </c>
      <c r="L11" s="25" t="e">
        <f t="shared" si="4"/>
        <v>#REF!</v>
      </c>
      <c r="M11" s="25" t="e">
        <f t="shared" si="4"/>
        <v>#REF!</v>
      </c>
      <c r="N11" s="25" t="e">
        <f t="shared" si="4"/>
        <v>#REF!</v>
      </c>
      <c r="O11" s="25" t="e">
        <f t="shared" si="4"/>
        <v>#REF!</v>
      </c>
      <c r="P11" s="25" t="e">
        <f t="shared" si="4"/>
        <v>#REF!</v>
      </c>
      <c r="Q11" s="25" t="e">
        <f t="shared" si="4"/>
        <v>#REF!</v>
      </c>
      <c r="R11" s="25" t="e">
        <f t="shared" si="4"/>
        <v>#REF!</v>
      </c>
    </row>
    <row r="12" spans="1:18" ht="13.8" x14ac:dyDescent="0.3">
      <c r="A12" s="6"/>
      <c r="B12" s="9" t="s">
        <v>62</v>
      </c>
      <c r="C12" s="20" t="e">
        <f>SUM(D12:R12)</f>
        <v>#REF!</v>
      </c>
      <c r="D12" s="20" t="e">
        <f t="shared" ref="D12:R12" si="5">SUM(D10:D11)</f>
        <v>#REF!</v>
      </c>
      <c r="E12" s="20" t="e">
        <f t="shared" si="5"/>
        <v>#REF!</v>
      </c>
      <c r="F12" s="20" t="e">
        <f t="shared" si="5"/>
        <v>#REF!</v>
      </c>
      <c r="G12" s="20" t="e">
        <f t="shared" si="5"/>
        <v>#REF!</v>
      </c>
      <c r="H12" s="20" t="e">
        <f t="shared" si="5"/>
        <v>#REF!</v>
      </c>
      <c r="I12" s="20" t="e">
        <f t="shared" si="5"/>
        <v>#REF!</v>
      </c>
      <c r="J12" s="20" t="e">
        <f t="shared" si="5"/>
        <v>#REF!</v>
      </c>
      <c r="K12" s="20" t="e">
        <f t="shared" si="5"/>
        <v>#REF!</v>
      </c>
      <c r="L12" s="20" t="e">
        <f t="shared" si="5"/>
        <v>#REF!</v>
      </c>
      <c r="M12" s="20" t="e">
        <f t="shared" si="5"/>
        <v>#REF!</v>
      </c>
      <c r="N12" s="20" t="e">
        <f t="shared" si="5"/>
        <v>#REF!</v>
      </c>
      <c r="O12" s="20" t="e">
        <f t="shared" si="5"/>
        <v>#REF!</v>
      </c>
      <c r="P12" s="20" t="e">
        <f t="shared" si="5"/>
        <v>#REF!</v>
      </c>
      <c r="Q12" s="20" t="e">
        <f t="shared" si="5"/>
        <v>#REF!</v>
      </c>
      <c r="R12" s="20" t="e">
        <f t="shared" si="5"/>
        <v>#REF!</v>
      </c>
    </row>
    <row r="14" spans="1:18" ht="13.8" x14ac:dyDescent="0.3">
      <c r="B14" s="9" t="s">
        <v>51</v>
      </c>
      <c r="C14" s="9"/>
      <c r="D14" s="27">
        <v>1</v>
      </c>
      <c r="E14" s="27">
        <v>2</v>
      </c>
      <c r="F14" s="27">
        <v>3</v>
      </c>
      <c r="G14" s="27">
        <v>4</v>
      </c>
      <c r="H14" s="27">
        <v>5</v>
      </c>
      <c r="I14" s="27">
        <v>6</v>
      </c>
      <c r="J14" s="27">
        <v>7</v>
      </c>
      <c r="K14" s="27">
        <v>8</v>
      </c>
      <c r="L14" s="27">
        <v>9</v>
      </c>
      <c r="M14" s="27">
        <v>10</v>
      </c>
      <c r="N14" s="27">
        <v>11</v>
      </c>
      <c r="O14" s="27">
        <v>12</v>
      </c>
      <c r="P14" s="27">
        <v>13</v>
      </c>
      <c r="Q14" s="27">
        <v>14</v>
      </c>
      <c r="R14" s="27">
        <v>15</v>
      </c>
    </row>
    <row r="15" spans="1:18" ht="13.8" x14ac:dyDescent="0.3">
      <c r="B15" s="23" t="s">
        <v>106</v>
      </c>
      <c r="C15" s="23" t="s">
        <v>33</v>
      </c>
      <c r="D15" s="24">
        <f>D9</f>
        <v>2024</v>
      </c>
      <c r="E15" s="24">
        <f t="shared" ref="E15:R15" si="6">$D$3+D14</f>
        <v>2025</v>
      </c>
      <c r="F15" s="24">
        <f t="shared" si="6"/>
        <v>2026</v>
      </c>
      <c r="G15" s="24">
        <f t="shared" si="6"/>
        <v>2027</v>
      </c>
      <c r="H15" s="24">
        <f t="shared" si="6"/>
        <v>2028</v>
      </c>
      <c r="I15" s="24">
        <f t="shared" si="6"/>
        <v>2029</v>
      </c>
      <c r="J15" s="24">
        <f t="shared" si="6"/>
        <v>2030</v>
      </c>
      <c r="K15" s="24">
        <f t="shared" si="6"/>
        <v>2031</v>
      </c>
      <c r="L15" s="24">
        <f t="shared" si="6"/>
        <v>2032</v>
      </c>
      <c r="M15" s="24">
        <f t="shared" si="6"/>
        <v>2033</v>
      </c>
      <c r="N15" s="24">
        <f t="shared" si="6"/>
        <v>2034</v>
      </c>
      <c r="O15" s="24">
        <f t="shared" si="6"/>
        <v>2035</v>
      </c>
      <c r="P15" s="24">
        <f t="shared" si="6"/>
        <v>2036</v>
      </c>
      <c r="Q15" s="24">
        <f t="shared" si="6"/>
        <v>2037</v>
      </c>
      <c r="R15" s="24">
        <f t="shared" si="6"/>
        <v>2038</v>
      </c>
    </row>
    <row r="16" spans="1:18" ht="13.8" x14ac:dyDescent="0.3">
      <c r="B16" s="6" t="s">
        <v>60</v>
      </c>
      <c r="C16" s="17">
        <f>SUM(D16:R16)</f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</row>
    <row r="17" spans="2:18" ht="13.8" x14ac:dyDescent="0.3">
      <c r="B17" s="6" t="s">
        <v>61</v>
      </c>
      <c r="C17" s="17" t="e">
        <f>SUM(D17:R17)</f>
        <v>#REF!</v>
      </c>
      <c r="D17" s="25" t="e">
        <f>#REF!</f>
        <v>#REF!</v>
      </c>
      <c r="E17" s="25" t="e">
        <f>D17</f>
        <v>#REF!</v>
      </c>
      <c r="F17" s="25" t="e">
        <f t="shared" ref="F17:R17" si="7">E17</f>
        <v>#REF!</v>
      </c>
      <c r="G17" s="25" t="e">
        <f t="shared" si="7"/>
        <v>#REF!</v>
      </c>
      <c r="H17" s="25" t="e">
        <f t="shared" si="7"/>
        <v>#REF!</v>
      </c>
      <c r="I17" s="25" t="e">
        <f t="shared" si="7"/>
        <v>#REF!</v>
      </c>
      <c r="J17" s="25" t="e">
        <f t="shared" si="7"/>
        <v>#REF!</v>
      </c>
      <c r="K17" s="25" t="e">
        <f t="shared" si="7"/>
        <v>#REF!</v>
      </c>
      <c r="L17" s="25" t="e">
        <f t="shared" si="7"/>
        <v>#REF!</v>
      </c>
      <c r="M17" s="25" t="e">
        <f t="shared" si="7"/>
        <v>#REF!</v>
      </c>
      <c r="N17" s="25" t="e">
        <f t="shared" si="7"/>
        <v>#REF!</v>
      </c>
      <c r="O17" s="25" t="e">
        <f t="shared" si="7"/>
        <v>#REF!</v>
      </c>
      <c r="P17" s="25" t="e">
        <f t="shared" si="7"/>
        <v>#REF!</v>
      </c>
      <c r="Q17" s="25" t="e">
        <f t="shared" si="7"/>
        <v>#REF!</v>
      </c>
      <c r="R17" s="25" t="e">
        <f t="shared" si="7"/>
        <v>#REF!</v>
      </c>
    </row>
    <row r="18" spans="2:18" ht="13.8" x14ac:dyDescent="0.3">
      <c r="B18" s="9" t="s">
        <v>62</v>
      </c>
      <c r="C18" s="20" t="e">
        <f>SUM(D18:R18)</f>
        <v>#REF!</v>
      </c>
      <c r="D18" s="20" t="e">
        <f t="shared" ref="D18:R18" si="8">SUM(D16:D17)</f>
        <v>#REF!</v>
      </c>
      <c r="E18" s="20" t="e">
        <f t="shared" si="8"/>
        <v>#REF!</v>
      </c>
      <c r="F18" s="20" t="e">
        <f t="shared" si="8"/>
        <v>#REF!</v>
      </c>
      <c r="G18" s="20" t="e">
        <f t="shared" si="8"/>
        <v>#REF!</v>
      </c>
      <c r="H18" s="20" t="e">
        <f t="shared" si="8"/>
        <v>#REF!</v>
      </c>
      <c r="I18" s="20" t="e">
        <f t="shared" si="8"/>
        <v>#REF!</v>
      </c>
      <c r="J18" s="20" t="e">
        <f t="shared" si="8"/>
        <v>#REF!</v>
      </c>
      <c r="K18" s="20" t="e">
        <f t="shared" si="8"/>
        <v>#REF!</v>
      </c>
      <c r="L18" s="20" t="e">
        <f t="shared" si="8"/>
        <v>#REF!</v>
      </c>
      <c r="M18" s="20" t="e">
        <f t="shared" si="8"/>
        <v>#REF!</v>
      </c>
      <c r="N18" s="20" t="e">
        <f t="shared" si="8"/>
        <v>#REF!</v>
      </c>
      <c r="O18" s="20" t="e">
        <f t="shared" si="8"/>
        <v>#REF!</v>
      </c>
      <c r="P18" s="20" t="e">
        <f t="shared" si="8"/>
        <v>#REF!</v>
      </c>
      <c r="Q18" s="20" t="e">
        <f t="shared" si="8"/>
        <v>#REF!</v>
      </c>
      <c r="R18" s="20" t="e">
        <f t="shared" si="8"/>
        <v>#REF!</v>
      </c>
    </row>
    <row r="20" spans="2:18" ht="13.8" x14ac:dyDescent="0.3">
      <c r="B20" s="9" t="s">
        <v>105</v>
      </c>
      <c r="C20" s="9"/>
      <c r="D20" s="27">
        <v>1</v>
      </c>
      <c r="E20" s="27">
        <v>2</v>
      </c>
      <c r="F20" s="27">
        <v>3</v>
      </c>
      <c r="G20" s="27">
        <v>4</v>
      </c>
      <c r="H20" s="27">
        <v>5</v>
      </c>
      <c r="I20" s="27">
        <v>6</v>
      </c>
      <c r="J20" s="27">
        <v>7</v>
      </c>
      <c r="K20" s="27">
        <v>8</v>
      </c>
      <c r="L20" s="27">
        <v>9</v>
      </c>
      <c r="M20" s="27">
        <v>10</v>
      </c>
      <c r="N20" s="27">
        <v>11</v>
      </c>
      <c r="O20" s="27">
        <v>12</v>
      </c>
      <c r="P20" s="27">
        <v>13</v>
      </c>
      <c r="Q20" s="27">
        <v>14</v>
      </c>
      <c r="R20" s="27">
        <v>15</v>
      </c>
    </row>
    <row r="21" spans="2:18" ht="13.8" x14ac:dyDescent="0.3">
      <c r="B21" s="23" t="s">
        <v>107</v>
      </c>
      <c r="C21" s="23" t="s">
        <v>33</v>
      </c>
      <c r="D21" s="24">
        <f>D15</f>
        <v>2024</v>
      </c>
      <c r="E21" s="24">
        <f t="shared" ref="E21:R21" si="9">$D$3+D20</f>
        <v>2025</v>
      </c>
      <c r="F21" s="24">
        <f t="shared" si="9"/>
        <v>2026</v>
      </c>
      <c r="G21" s="24">
        <f t="shared" si="9"/>
        <v>2027</v>
      </c>
      <c r="H21" s="24">
        <f t="shared" si="9"/>
        <v>2028</v>
      </c>
      <c r="I21" s="24">
        <f t="shared" si="9"/>
        <v>2029</v>
      </c>
      <c r="J21" s="24">
        <f t="shared" si="9"/>
        <v>2030</v>
      </c>
      <c r="K21" s="24">
        <f t="shared" si="9"/>
        <v>2031</v>
      </c>
      <c r="L21" s="24">
        <f t="shared" si="9"/>
        <v>2032</v>
      </c>
      <c r="M21" s="24">
        <f t="shared" si="9"/>
        <v>2033</v>
      </c>
      <c r="N21" s="24">
        <f t="shared" si="9"/>
        <v>2034</v>
      </c>
      <c r="O21" s="24">
        <f t="shared" si="9"/>
        <v>2035</v>
      </c>
      <c r="P21" s="24">
        <f t="shared" si="9"/>
        <v>2036</v>
      </c>
      <c r="Q21" s="24">
        <f t="shared" si="9"/>
        <v>2037</v>
      </c>
      <c r="R21" s="24">
        <f t="shared" si="9"/>
        <v>2038</v>
      </c>
    </row>
    <row r="22" spans="2:18" ht="13.8" x14ac:dyDescent="0.3">
      <c r="B22" s="6" t="s">
        <v>60</v>
      </c>
      <c r="C22" s="17">
        <f>SUM(D22:R22)</f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</row>
    <row r="23" spans="2:18" ht="13.8" x14ac:dyDescent="0.3">
      <c r="B23" s="6" t="s">
        <v>61</v>
      </c>
      <c r="C23" s="17" t="e">
        <f>SUM(D23:R23)</f>
        <v>#REF!</v>
      </c>
      <c r="D23" s="25" t="e">
        <f>#REF!</f>
        <v>#REF!</v>
      </c>
      <c r="E23" s="25" t="e">
        <f>D23</f>
        <v>#REF!</v>
      </c>
      <c r="F23" s="25" t="e">
        <f t="shared" ref="F23:R23" si="10">E23</f>
        <v>#REF!</v>
      </c>
      <c r="G23" s="25" t="e">
        <f t="shared" si="10"/>
        <v>#REF!</v>
      </c>
      <c r="H23" s="25" t="e">
        <f t="shared" si="10"/>
        <v>#REF!</v>
      </c>
      <c r="I23" s="25" t="e">
        <f t="shared" si="10"/>
        <v>#REF!</v>
      </c>
      <c r="J23" s="25" t="e">
        <f t="shared" si="10"/>
        <v>#REF!</v>
      </c>
      <c r="K23" s="25" t="e">
        <f t="shared" si="10"/>
        <v>#REF!</v>
      </c>
      <c r="L23" s="25" t="e">
        <f t="shared" si="10"/>
        <v>#REF!</v>
      </c>
      <c r="M23" s="25" t="e">
        <f t="shared" si="10"/>
        <v>#REF!</v>
      </c>
      <c r="N23" s="25" t="e">
        <f t="shared" si="10"/>
        <v>#REF!</v>
      </c>
      <c r="O23" s="25" t="e">
        <f t="shared" si="10"/>
        <v>#REF!</v>
      </c>
      <c r="P23" s="25" t="e">
        <f t="shared" si="10"/>
        <v>#REF!</v>
      </c>
      <c r="Q23" s="25" t="e">
        <f t="shared" si="10"/>
        <v>#REF!</v>
      </c>
      <c r="R23" s="25" t="e">
        <f t="shared" si="10"/>
        <v>#REF!</v>
      </c>
    </row>
    <row r="24" spans="2:18" ht="13.8" x14ac:dyDescent="0.3">
      <c r="B24" s="9" t="s">
        <v>62</v>
      </c>
      <c r="C24" s="20" t="e">
        <f>SUM(D24:R24)</f>
        <v>#REF!</v>
      </c>
      <c r="D24" s="20" t="e">
        <f t="shared" ref="D24:R24" si="11">SUM(D22:D23)</f>
        <v>#REF!</v>
      </c>
      <c r="E24" s="20" t="e">
        <f t="shared" si="11"/>
        <v>#REF!</v>
      </c>
      <c r="F24" s="20" t="e">
        <f t="shared" si="11"/>
        <v>#REF!</v>
      </c>
      <c r="G24" s="20" t="e">
        <f t="shared" si="11"/>
        <v>#REF!</v>
      </c>
      <c r="H24" s="20" t="e">
        <f t="shared" si="11"/>
        <v>#REF!</v>
      </c>
      <c r="I24" s="20" t="e">
        <f t="shared" si="11"/>
        <v>#REF!</v>
      </c>
      <c r="J24" s="20" t="e">
        <f t="shared" si="11"/>
        <v>#REF!</v>
      </c>
      <c r="K24" s="20" t="e">
        <f t="shared" si="11"/>
        <v>#REF!</v>
      </c>
      <c r="L24" s="20" t="e">
        <f t="shared" si="11"/>
        <v>#REF!</v>
      </c>
      <c r="M24" s="20" t="e">
        <f t="shared" si="11"/>
        <v>#REF!</v>
      </c>
      <c r="N24" s="20" t="e">
        <f t="shared" si="11"/>
        <v>#REF!</v>
      </c>
      <c r="O24" s="20" t="e">
        <f t="shared" si="11"/>
        <v>#REF!</v>
      </c>
      <c r="P24" s="20" t="e">
        <f t="shared" si="11"/>
        <v>#REF!</v>
      </c>
      <c r="Q24" s="20" t="e">
        <f t="shared" si="11"/>
        <v>#REF!</v>
      </c>
      <c r="R24" s="20" t="e">
        <f t="shared" si="11"/>
        <v>#REF!</v>
      </c>
    </row>
    <row r="26" spans="2:18" ht="13.8" x14ac:dyDescent="0.3">
      <c r="B26" s="9" t="s">
        <v>110</v>
      </c>
      <c r="C26" s="9"/>
      <c r="D26" s="27">
        <v>1</v>
      </c>
      <c r="E26" s="27">
        <v>2</v>
      </c>
      <c r="F26" s="27">
        <v>3</v>
      </c>
      <c r="G26" s="27">
        <v>4</v>
      </c>
      <c r="H26" s="27">
        <v>5</v>
      </c>
      <c r="I26" s="27">
        <v>6</v>
      </c>
      <c r="J26" s="27">
        <v>7</v>
      </c>
      <c r="K26" s="27">
        <v>8</v>
      </c>
      <c r="L26" s="27">
        <v>9</v>
      </c>
      <c r="M26" s="27">
        <v>10</v>
      </c>
      <c r="N26" s="27">
        <v>11</v>
      </c>
      <c r="O26" s="27">
        <v>12</v>
      </c>
      <c r="P26" s="27">
        <v>13</v>
      </c>
      <c r="Q26" s="27">
        <v>14</v>
      </c>
      <c r="R26" s="27">
        <v>15</v>
      </c>
    </row>
    <row r="27" spans="2:18" ht="13.8" x14ac:dyDescent="0.3">
      <c r="B27" s="23" t="s">
        <v>111</v>
      </c>
      <c r="C27" s="23" t="s">
        <v>33</v>
      </c>
      <c r="D27" s="24">
        <f>D21</f>
        <v>2024</v>
      </c>
      <c r="E27" s="24">
        <f t="shared" ref="E27:R27" si="12">$D$3+D26</f>
        <v>2025</v>
      </c>
      <c r="F27" s="24">
        <f t="shared" si="12"/>
        <v>2026</v>
      </c>
      <c r="G27" s="24">
        <f t="shared" si="12"/>
        <v>2027</v>
      </c>
      <c r="H27" s="24">
        <f t="shared" si="12"/>
        <v>2028</v>
      </c>
      <c r="I27" s="24">
        <f t="shared" si="12"/>
        <v>2029</v>
      </c>
      <c r="J27" s="24">
        <f t="shared" si="12"/>
        <v>2030</v>
      </c>
      <c r="K27" s="24">
        <f t="shared" si="12"/>
        <v>2031</v>
      </c>
      <c r="L27" s="24">
        <f t="shared" si="12"/>
        <v>2032</v>
      </c>
      <c r="M27" s="24">
        <f t="shared" si="12"/>
        <v>2033</v>
      </c>
      <c r="N27" s="24">
        <f t="shared" si="12"/>
        <v>2034</v>
      </c>
      <c r="O27" s="24">
        <f t="shared" si="12"/>
        <v>2035</v>
      </c>
      <c r="P27" s="24">
        <f t="shared" si="12"/>
        <v>2036</v>
      </c>
      <c r="Q27" s="24">
        <f t="shared" si="12"/>
        <v>2037</v>
      </c>
      <c r="R27" s="24">
        <f t="shared" si="12"/>
        <v>2038</v>
      </c>
    </row>
    <row r="28" spans="2:18" ht="13.8" x14ac:dyDescent="0.3">
      <c r="B28" s="6" t="s">
        <v>60</v>
      </c>
      <c r="C28" s="17">
        <f>SUM(D28:R28)</f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</row>
    <row r="29" spans="2:18" ht="13.8" x14ac:dyDescent="0.3">
      <c r="B29" s="6" t="s">
        <v>61</v>
      </c>
      <c r="C29" s="17" t="e">
        <f>SUM(D29:R29)</f>
        <v>#REF!</v>
      </c>
      <c r="D29" s="25" t="e">
        <f>#REF!</f>
        <v>#REF!</v>
      </c>
      <c r="E29" s="25" t="e">
        <f t="shared" ref="E29:R29" si="13">D29</f>
        <v>#REF!</v>
      </c>
      <c r="F29" s="25" t="e">
        <f t="shared" si="13"/>
        <v>#REF!</v>
      </c>
      <c r="G29" s="25" t="e">
        <f t="shared" si="13"/>
        <v>#REF!</v>
      </c>
      <c r="H29" s="25" t="e">
        <f t="shared" si="13"/>
        <v>#REF!</v>
      </c>
      <c r="I29" s="25" t="e">
        <f t="shared" si="13"/>
        <v>#REF!</v>
      </c>
      <c r="J29" s="25" t="e">
        <f t="shared" si="13"/>
        <v>#REF!</v>
      </c>
      <c r="K29" s="25" t="e">
        <f t="shared" si="13"/>
        <v>#REF!</v>
      </c>
      <c r="L29" s="25" t="e">
        <f t="shared" si="13"/>
        <v>#REF!</v>
      </c>
      <c r="M29" s="25" t="e">
        <f t="shared" si="13"/>
        <v>#REF!</v>
      </c>
      <c r="N29" s="25" t="e">
        <f t="shared" si="13"/>
        <v>#REF!</v>
      </c>
      <c r="O29" s="25" t="e">
        <f t="shared" si="13"/>
        <v>#REF!</v>
      </c>
      <c r="P29" s="25" t="e">
        <f t="shared" si="13"/>
        <v>#REF!</v>
      </c>
      <c r="Q29" s="25" t="e">
        <f t="shared" si="13"/>
        <v>#REF!</v>
      </c>
      <c r="R29" s="25" t="e">
        <f t="shared" si="13"/>
        <v>#REF!</v>
      </c>
    </row>
    <row r="30" spans="2:18" ht="13.8" x14ac:dyDescent="0.3">
      <c r="B30" s="9" t="s">
        <v>62</v>
      </c>
      <c r="C30" s="20" t="e">
        <f>SUM(D30:R30)</f>
        <v>#REF!</v>
      </c>
      <c r="D30" s="20" t="e">
        <f t="shared" ref="D30:R30" si="14">SUM(D28:D29)</f>
        <v>#REF!</v>
      </c>
      <c r="E30" s="20" t="e">
        <f t="shared" si="14"/>
        <v>#REF!</v>
      </c>
      <c r="F30" s="20" t="e">
        <f t="shared" si="14"/>
        <v>#REF!</v>
      </c>
      <c r="G30" s="20" t="e">
        <f t="shared" si="14"/>
        <v>#REF!</v>
      </c>
      <c r="H30" s="20" t="e">
        <f t="shared" si="14"/>
        <v>#REF!</v>
      </c>
      <c r="I30" s="20" t="e">
        <f t="shared" si="14"/>
        <v>#REF!</v>
      </c>
      <c r="J30" s="20" t="e">
        <f t="shared" si="14"/>
        <v>#REF!</v>
      </c>
      <c r="K30" s="20" t="e">
        <f t="shared" si="14"/>
        <v>#REF!</v>
      </c>
      <c r="L30" s="20" t="e">
        <f t="shared" si="14"/>
        <v>#REF!</v>
      </c>
      <c r="M30" s="20" t="e">
        <f t="shared" si="14"/>
        <v>#REF!</v>
      </c>
      <c r="N30" s="20" t="e">
        <f t="shared" si="14"/>
        <v>#REF!</v>
      </c>
      <c r="O30" s="20" t="e">
        <f t="shared" si="14"/>
        <v>#REF!</v>
      </c>
      <c r="P30" s="20" t="e">
        <f t="shared" si="14"/>
        <v>#REF!</v>
      </c>
      <c r="Q30" s="20" t="e">
        <f t="shared" si="14"/>
        <v>#REF!</v>
      </c>
      <c r="R30" s="20" t="e">
        <f t="shared" si="14"/>
        <v>#REF!</v>
      </c>
    </row>
  </sheetData>
  <pageMargins left="0.22604166666666667" right="0.24062500000000001" top="1" bottom="1" header="0.5" footer="0.5"/>
  <pageSetup paperSize="9" scale="75" orientation="landscape" r:id="rId1"/>
  <headerFooter alignWithMargins="0">
    <oddHeader>&amp;LPríloha 7: Štandardné tabuľky - Cesty
&amp;"Arial,Tučné"&amp;12 04 Príjmy</oddHeader>
    <oddFooter>Strana &amp;P z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66FF99"/>
    <pageSetUpPr fitToPage="1"/>
  </sheetPr>
  <dimension ref="A1:R61"/>
  <sheetViews>
    <sheetView workbookViewId="0"/>
  </sheetViews>
  <sheetFormatPr defaultColWidth="9.109375" defaultRowHeight="13.8" x14ac:dyDescent="0.3"/>
  <cols>
    <col min="1" max="1" width="2.6640625" style="6" customWidth="1"/>
    <col min="2" max="2" width="33.6640625" style="6" customWidth="1"/>
    <col min="3" max="3" width="11.6640625" style="6" bestFit="1" customWidth="1"/>
    <col min="4" max="18" width="9.6640625" style="6" bestFit="1" customWidth="1"/>
    <col min="19" max="19" width="5" style="6" bestFit="1" customWidth="1"/>
    <col min="20" max="16384" width="9.109375" style="6"/>
  </cols>
  <sheetData>
    <row r="1" spans="1:18" x14ac:dyDescent="0.3">
      <c r="C1" s="9" t="s">
        <v>63</v>
      </c>
    </row>
    <row r="2" spans="1:18" x14ac:dyDescent="0.3">
      <c r="B2" s="6" t="s">
        <v>46</v>
      </c>
      <c r="C2" s="31" t="e">
        <f>C17</f>
        <v>#REF!</v>
      </c>
    </row>
    <row r="3" spans="1:18" x14ac:dyDescent="0.3">
      <c r="B3" s="6" t="s">
        <v>50</v>
      </c>
      <c r="C3" s="31" t="e">
        <f>C28</f>
        <v>#REF!</v>
      </c>
    </row>
    <row r="4" spans="1:18" x14ac:dyDescent="0.3">
      <c r="B4" s="6" t="s">
        <v>51</v>
      </c>
      <c r="C4" s="31" t="e">
        <f>C39</f>
        <v>#REF!</v>
      </c>
    </row>
    <row r="5" spans="1:18" x14ac:dyDescent="0.3">
      <c r="B5" s="6" t="s">
        <v>105</v>
      </c>
      <c r="C5" s="31" t="e">
        <f>C50</f>
        <v>#REF!</v>
      </c>
    </row>
    <row r="6" spans="1:18" x14ac:dyDescent="0.3">
      <c r="B6" s="6" t="s">
        <v>110</v>
      </c>
      <c r="C6" s="31" t="e">
        <f>C61</f>
        <v>#REF!</v>
      </c>
    </row>
    <row r="8" spans="1:18" x14ac:dyDescent="0.3">
      <c r="B8" s="9" t="s">
        <v>46</v>
      </c>
      <c r="C8" s="9"/>
      <c r="D8" s="6" t="s">
        <v>52</v>
      </c>
    </row>
    <row r="9" spans="1:18" x14ac:dyDescent="0.3">
      <c r="A9" s="30"/>
      <c r="B9" s="9"/>
      <c r="C9" s="18" t="s">
        <v>33</v>
      </c>
      <c r="D9" s="27">
        <v>1</v>
      </c>
      <c r="E9" s="27">
        <v>2</v>
      </c>
      <c r="F9" s="27">
        <v>3</v>
      </c>
      <c r="G9" s="27">
        <v>4</v>
      </c>
      <c r="H9" s="27">
        <v>5</v>
      </c>
      <c r="I9" s="27">
        <v>6</v>
      </c>
      <c r="J9" s="27">
        <v>7</v>
      </c>
      <c r="K9" s="27">
        <v>8</v>
      </c>
      <c r="L9" s="27">
        <v>9</v>
      </c>
      <c r="M9" s="27">
        <v>10</v>
      </c>
      <c r="N9" s="27">
        <v>11</v>
      </c>
      <c r="O9" s="27">
        <v>12</v>
      </c>
      <c r="P9" s="27">
        <v>13</v>
      </c>
      <c r="Q9" s="27">
        <v>14</v>
      </c>
      <c r="R9" s="27">
        <v>15</v>
      </c>
    </row>
    <row r="10" spans="1:18" x14ac:dyDescent="0.3">
      <c r="A10" s="30"/>
      <c r="B10" s="23" t="s">
        <v>64</v>
      </c>
      <c r="C10" s="32" t="s">
        <v>65</v>
      </c>
      <c r="D10" s="24">
        <v>2024</v>
      </c>
      <c r="E10" s="24">
        <f t="shared" ref="E10:R10" si="0">$D$21+D9</f>
        <v>2025</v>
      </c>
      <c r="F10" s="24">
        <f t="shared" si="0"/>
        <v>2026</v>
      </c>
      <c r="G10" s="24">
        <f t="shared" si="0"/>
        <v>2027</v>
      </c>
      <c r="H10" s="24">
        <f t="shared" si="0"/>
        <v>2028</v>
      </c>
      <c r="I10" s="24">
        <f t="shared" si="0"/>
        <v>2029</v>
      </c>
      <c r="J10" s="24">
        <f t="shared" si="0"/>
        <v>2030</v>
      </c>
      <c r="K10" s="24">
        <f t="shared" si="0"/>
        <v>2031</v>
      </c>
      <c r="L10" s="24">
        <f t="shared" si="0"/>
        <v>2032</v>
      </c>
      <c r="M10" s="24">
        <f t="shared" si="0"/>
        <v>2033</v>
      </c>
      <c r="N10" s="24">
        <f t="shared" si="0"/>
        <v>2034</v>
      </c>
      <c r="O10" s="24">
        <f t="shared" si="0"/>
        <v>2035</v>
      </c>
      <c r="P10" s="24">
        <f t="shared" si="0"/>
        <v>2036</v>
      </c>
      <c r="Q10" s="24">
        <f t="shared" si="0"/>
        <v>2037</v>
      </c>
      <c r="R10" s="24">
        <f t="shared" si="0"/>
        <v>2038</v>
      </c>
    </row>
    <row r="11" spans="1:18" x14ac:dyDescent="0.3">
      <c r="A11" s="30"/>
      <c r="B11" s="6" t="s">
        <v>66</v>
      </c>
      <c r="C11" s="33" t="e">
        <f>D11+NPV(#REF!,'05 Finančná analýza'!E11:R11)</f>
        <v>#REF!</v>
      </c>
      <c r="D11" s="17">
        <f>-'01 Investičné výdavky'!E7</f>
        <v>0</v>
      </c>
      <c r="E11" s="17">
        <f>-'01 Investičné výdavky'!F7</f>
        <v>0</v>
      </c>
      <c r="F11" s="17">
        <f>-'01 Investičné výdavky'!G7</f>
        <v>0</v>
      </c>
      <c r="G11" s="17">
        <f>-'01 Investičné výdavky'!H7</f>
        <v>0</v>
      </c>
      <c r="H11" s="17">
        <f>-'01 Investičné výdavky'!I7</f>
        <v>0</v>
      </c>
      <c r="I11" s="17">
        <f>-'01 Investičné výdavky'!J7</f>
        <v>0</v>
      </c>
      <c r="J11" s="17">
        <f>-'01 Investičné výdavky'!K7</f>
        <v>0</v>
      </c>
      <c r="K11" s="17">
        <f>-'01 Investičné výdavky'!L7</f>
        <v>0</v>
      </c>
      <c r="L11" s="17">
        <f>-'01 Investičné výdavky'!M7</f>
        <v>0</v>
      </c>
      <c r="M11" s="17">
        <f>-'01 Investičné výdavky'!N7</f>
        <v>0</v>
      </c>
      <c r="N11" s="17">
        <f>-'01 Investičné výdavky'!O7</f>
        <v>0</v>
      </c>
      <c r="O11" s="17">
        <f>-'01 Investičné výdavky'!P7</f>
        <v>0</v>
      </c>
      <c r="P11" s="17">
        <f>-'01 Investičné výdavky'!Q7</f>
        <v>0</v>
      </c>
      <c r="Q11" s="17">
        <f>-'01 Investičné výdavky'!R7</f>
        <v>0</v>
      </c>
      <c r="R11" s="17">
        <f>-'01 Investičné výdavky'!S7</f>
        <v>0</v>
      </c>
    </row>
    <row r="12" spans="1:18" x14ac:dyDescent="0.3">
      <c r="A12" s="30"/>
      <c r="B12" s="6" t="s">
        <v>67</v>
      </c>
      <c r="C12" s="33" t="e">
        <f>D12+NPV(#REF!,'05 Finančná analýza'!E12:R12)</f>
        <v>#REF!</v>
      </c>
      <c r="D12" s="17" t="e">
        <f>#REF!</f>
        <v>#REF!</v>
      </c>
      <c r="E12" s="17" t="e">
        <f>#REF!</f>
        <v>#REF!</v>
      </c>
      <c r="F12" s="17" t="e">
        <f>#REF!</f>
        <v>#REF!</v>
      </c>
      <c r="G12" s="17" t="e">
        <f>#REF!</f>
        <v>#REF!</v>
      </c>
      <c r="H12" s="17" t="e">
        <f>#REF!</f>
        <v>#REF!</v>
      </c>
      <c r="I12" s="17" t="e">
        <f>#REF!</f>
        <v>#REF!</v>
      </c>
      <c r="J12" s="17" t="e">
        <f>#REF!</f>
        <v>#REF!</v>
      </c>
      <c r="K12" s="17" t="e">
        <f>#REF!</f>
        <v>#REF!</v>
      </c>
      <c r="L12" s="17" t="e">
        <f>#REF!</f>
        <v>#REF!</v>
      </c>
      <c r="M12" s="17" t="e">
        <f>#REF!</f>
        <v>#REF!</v>
      </c>
      <c r="N12" s="17" t="e">
        <f>#REF!</f>
        <v>#REF!</v>
      </c>
      <c r="O12" s="17" t="e">
        <f>#REF!</f>
        <v>#REF!</v>
      </c>
      <c r="P12" s="17" t="e">
        <f>#REF!</f>
        <v>#REF!</v>
      </c>
      <c r="Q12" s="17" t="e">
        <f>#REF!</f>
        <v>#REF!</v>
      </c>
      <c r="R12" s="17" t="e">
        <f>#REF!</f>
        <v>#REF!</v>
      </c>
    </row>
    <row r="13" spans="1:18" x14ac:dyDescent="0.3">
      <c r="A13" s="30"/>
      <c r="B13" s="6" t="s">
        <v>68</v>
      </c>
      <c r="C13" s="33" t="e">
        <f>D13+NPV(#REF!,'05 Finančná analýza'!E13:R13)</f>
        <v>#REF!</v>
      </c>
      <c r="D13" s="17" t="e">
        <f>'04 Prevádzkové príjmy'!D11</f>
        <v>#REF!</v>
      </c>
      <c r="E13" s="17" t="e">
        <f>'04 Prevádzkové príjmy'!E11</f>
        <v>#REF!</v>
      </c>
      <c r="F13" s="17" t="e">
        <f>'04 Prevádzkové príjmy'!F11</f>
        <v>#REF!</v>
      </c>
      <c r="G13" s="17" t="e">
        <f>'04 Prevádzkové príjmy'!G11</f>
        <v>#REF!</v>
      </c>
      <c r="H13" s="17" t="e">
        <f>'04 Prevádzkové príjmy'!H11</f>
        <v>#REF!</v>
      </c>
      <c r="I13" s="17" t="e">
        <f>'04 Prevádzkové príjmy'!I11</f>
        <v>#REF!</v>
      </c>
      <c r="J13" s="17" t="e">
        <f>'04 Prevádzkové príjmy'!J11</f>
        <v>#REF!</v>
      </c>
      <c r="K13" s="17" t="e">
        <f>'04 Prevádzkové príjmy'!K11</f>
        <v>#REF!</v>
      </c>
      <c r="L13" s="17" t="e">
        <f>'04 Prevádzkové príjmy'!L11</f>
        <v>#REF!</v>
      </c>
      <c r="M13" s="17" t="e">
        <f>'04 Prevádzkové príjmy'!M11</f>
        <v>#REF!</v>
      </c>
      <c r="N13" s="17" t="e">
        <f>'04 Prevádzkové príjmy'!N11</f>
        <v>#REF!</v>
      </c>
      <c r="O13" s="17" t="e">
        <f>'04 Prevádzkové príjmy'!O11</f>
        <v>#REF!</v>
      </c>
      <c r="P13" s="17" t="e">
        <f>'04 Prevádzkové príjmy'!P11</f>
        <v>#REF!</v>
      </c>
      <c r="Q13" s="17" t="e">
        <f>'04 Prevádzkové príjmy'!Q11</f>
        <v>#REF!</v>
      </c>
      <c r="R13" s="17" t="e">
        <f>'04 Prevádzkové príjmy'!R11</f>
        <v>#REF!</v>
      </c>
    </row>
    <row r="14" spans="1:18" x14ac:dyDescent="0.3">
      <c r="A14" s="30"/>
      <c r="B14" s="6" t="s">
        <v>45</v>
      </c>
      <c r="C14" s="33" t="e">
        <f>D14+NPV(#REF!,'05 Finančná analýza'!E14:R14)</f>
        <v>#REF!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34">
        <f>'02 Zostatková hodnota'!G7</f>
        <v>0</v>
      </c>
    </row>
    <row r="15" spans="1:18" x14ac:dyDescent="0.3">
      <c r="A15" s="30"/>
      <c r="B15" s="9" t="s">
        <v>69</v>
      </c>
      <c r="C15" s="26" t="e">
        <f>D15+NPV(#REF!,'05 Finančná analýza'!E15:R15)</f>
        <v>#REF!</v>
      </c>
      <c r="D15" s="20" t="e">
        <f t="shared" ref="D15:R15" si="1">SUM(D11:D14)</f>
        <v>#REF!</v>
      </c>
      <c r="E15" s="20" t="e">
        <f t="shared" si="1"/>
        <v>#REF!</v>
      </c>
      <c r="F15" s="20" t="e">
        <f t="shared" si="1"/>
        <v>#REF!</v>
      </c>
      <c r="G15" s="20" t="e">
        <f t="shared" si="1"/>
        <v>#REF!</v>
      </c>
      <c r="H15" s="20" t="e">
        <f t="shared" si="1"/>
        <v>#REF!</v>
      </c>
      <c r="I15" s="20" t="e">
        <f t="shared" si="1"/>
        <v>#REF!</v>
      </c>
      <c r="J15" s="20" t="e">
        <f t="shared" si="1"/>
        <v>#REF!</v>
      </c>
      <c r="K15" s="20" t="e">
        <f t="shared" si="1"/>
        <v>#REF!</v>
      </c>
      <c r="L15" s="20" t="e">
        <f t="shared" si="1"/>
        <v>#REF!</v>
      </c>
      <c r="M15" s="20" t="e">
        <f t="shared" si="1"/>
        <v>#REF!</v>
      </c>
      <c r="N15" s="20" t="e">
        <f t="shared" si="1"/>
        <v>#REF!</v>
      </c>
      <c r="O15" s="20" t="e">
        <f t="shared" si="1"/>
        <v>#REF!</v>
      </c>
      <c r="P15" s="20" t="e">
        <f t="shared" si="1"/>
        <v>#REF!</v>
      </c>
      <c r="Q15" s="20" t="e">
        <f t="shared" si="1"/>
        <v>#REF!</v>
      </c>
      <c r="R15" s="20" t="e">
        <f t="shared" si="1"/>
        <v>#REF!</v>
      </c>
    </row>
    <row r="16" spans="1:18" x14ac:dyDescent="0.3">
      <c r="A16" s="30"/>
    </row>
    <row r="17" spans="1:18" x14ac:dyDescent="0.3">
      <c r="A17" s="30"/>
      <c r="B17" s="6" t="s">
        <v>70</v>
      </c>
      <c r="C17" s="35" t="e">
        <f>SUM(C11:C14)</f>
        <v>#REF!</v>
      </c>
      <c r="D17" s="6" t="s">
        <v>71</v>
      </c>
    </row>
    <row r="19" spans="1:18" x14ac:dyDescent="0.3">
      <c r="B19" s="9" t="s">
        <v>50</v>
      </c>
      <c r="C19" s="9"/>
      <c r="D19" s="6" t="s">
        <v>52</v>
      </c>
    </row>
    <row r="20" spans="1:18" x14ac:dyDescent="0.3">
      <c r="B20" s="9"/>
      <c r="C20" s="18" t="s">
        <v>33</v>
      </c>
      <c r="D20" s="27">
        <v>1</v>
      </c>
      <c r="E20" s="27">
        <v>2</v>
      </c>
      <c r="F20" s="27">
        <v>3</v>
      </c>
      <c r="G20" s="27">
        <v>4</v>
      </c>
      <c r="H20" s="27">
        <v>5</v>
      </c>
      <c r="I20" s="27">
        <v>6</v>
      </c>
      <c r="J20" s="27">
        <v>7</v>
      </c>
      <c r="K20" s="27">
        <v>8</v>
      </c>
      <c r="L20" s="27">
        <v>9</v>
      </c>
      <c r="M20" s="27">
        <v>10</v>
      </c>
      <c r="N20" s="27">
        <v>11</v>
      </c>
      <c r="O20" s="27">
        <v>12</v>
      </c>
      <c r="P20" s="27">
        <v>13</v>
      </c>
      <c r="Q20" s="27">
        <v>14</v>
      </c>
      <c r="R20" s="27">
        <v>15</v>
      </c>
    </row>
    <row r="21" spans="1:18" x14ac:dyDescent="0.3">
      <c r="B21" s="23" t="s">
        <v>64</v>
      </c>
      <c r="C21" s="32" t="s">
        <v>65</v>
      </c>
      <c r="D21" s="24">
        <v>2024</v>
      </c>
      <c r="E21" s="24">
        <f>$D$21+D20</f>
        <v>2025</v>
      </c>
      <c r="F21" s="24">
        <f>$D$21+E20</f>
        <v>2026</v>
      </c>
      <c r="G21" s="24">
        <f t="shared" ref="G21:R21" si="2">$D$21+F20</f>
        <v>2027</v>
      </c>
      <c r="H21" s="24">
        <f t="shared" si="2"/>
        <v>2028</v>
      </c>
      <c r="I21" s="24">
        <f t="shared" si="2"/>
        <v>2029</v>
      </c>
      <c r="J21" s="24">
        <f t="shared" si="2"/>
        <v>2030</v>
      </c>
      <c r="K21" s="24">
        <f t="shared" si="2"/>
        <v>2031</v>
      </c>
      <c r="L21" s="24">
        <f t="shared" si="2"/>
        <v>2032</v>
      </c>
      <c r="M21" s="24">
        <f t="shared" si="2"/>
        <v>2033</v>
      </c>
      <c r="N21" s="24">
        <f t="shared" si="2"/>
        <v>2034</v>
      </c>
      <c r="O21" s="24">
        <f t="shared" si="2"/>
        <v>2035</v>
      </c>
      <c r="P21" s="24">
        <f t="shared" si="2"/>
        <v>2036</v>
      </c>
      <c r="Q21" s="24">
        <f t="shared" si="2"/>
        <v>2037</v>
      </c>
      <c r="R21" s="24">
        <f t="shared" si="2"/>
        <v>2038</v>
      </c>
    </row>
    <row r="22" spans="1:18" x14ac:dyDescent="0.3">
      <c r="B22" s="6" t="s">
        <v>66</v>
      </c>
      <c r="C22" s="33" t="e">
        <f>D22+NPV(#REF!,'05 Finančná analýza'!E22:R22)</f>
        <v>#REF!</v>
      </c>
      <c r="D22" s="17">
        <f>-'01 Investičné výdavky'!E15</f>
        <v>0</v>
      </c>
      <c r="E22" s="17">
        <f>-'01 Investičné výdavky'!F15</f>
        <v>0</v>
      </c>
      <c r="F22" s="17">
        <f>-'01 Investičné výdavky'!G15</f>
        <v>0</v>
      </c>
      <c r="G22" s="17">
        <f>-'01 Investičné výdavky'!H15</f>
        <v>0</v>
      </c>
      <c r="H22" s="17">
        <f>-'01 Investičné výdavky'!I15</f>
        <v>0</v>
      </c>
      <c r="I22" s="17">
        <f>-'01 Investičné výdavky'!J15</f>
        <v>0</v>
      </c>
      <c r="J22" s="17">
        <f>-'01 Investičné výdavky'!K15</f>
        <v>0</v>
      </c>
      <c r="K22" s="17">
        <f>-'01 Investičné výdavky'!L15</f>
        <v>0</v>
      </c>
      <c r="L22" s="17">
        <f>-'01 Investičné výdavky'!M15</f>
        <v>0</v>
      </c>
      <c r="M22" s="17">
        <f>-'01 Investičné výdavky'!N15</f>
        <v>0</v>
      </c>
      <c r="N22" s="17">
        <f>-'01 Investičné výdavky'!O15</f>
        <v>0</v>
      </c>
      <c r="O22" s="17">
        <f>-'01 Investičné výdavky'!P15</f>
        <v>0</v>
      </c>
      <c r="P22" s="17">
        <f>-'01 Investičné výdavky'!Q15</f>
        <v>0</v>
      </c>
      <c r="Q22" s="17">
        <f>-'01 Investičné výdavky'!R15</f>
        <v>0</v>
      </c>
      <c r="R22" s="17">
        <f>-'01 Investičné výdavky'!S15</f>
        <v>0</v>
      </c>
    </row>
    <row r="23" spans="1:18" x14ac:dyDescent="0.3">
      <c r="B23" s="6" t="s">
        <v>67</v>
      </c>
      <c r="C23" s="33" t="e">
        <f>D23+NPV(#REF!,'05 Finančná analýza'!E23:R23)</f>
        <v>#REF!</v>
      </c>
      <c r="D23" s="17" t="e">
        <f>#REF!</f>
        <v>#REF!</v>
      </c>
      <c r="E23" s="17" t="e">
        <f>#REF!</f>
        <v>#REF!</v>
      </c>
      <c r="F23" s="17" t="e">
        <f>#REF!</f>
        <v>#REF!</v>
      </c>
      <c r="G23" s="17" t="e">
        <f>#REF!</f>
        <v>#REF!</v>
      </c>
      <c r="H23" s="17" t="e">
        <f>#REF!</f>
        <v>#REF!</v>
      </c>
      <c r="I23" s="17" t="e">
        <f>#REF!</f>
        <v>#REF!</v>
      </c>
      <c r="J23" s="17" t="e">
        <f>#REF!</f>
        <v>#REF!</v>
      </c>
      <c r="K23" s="17" t="e">
        <f>#REF!</f>
        <v>#REF!</v>
      </c>
      <c r="L23" s="17" t="e">
        <f>#REF!</f>
        <v>#REF!</v>
      </c>
      <c r="M23" s="17" t="e">
        <f>#REF!</f>
        <v>#REF!</v>
      </c>
      <c r="N23" s="17" t="e">
        <f>#REF!</f>
        <v>#REF!</v>
      </c>
      <c r="O23" s="17" t="e">
        <f>#REF!</f>
        <v>#REF!</v>
      </c>
      <c r="P23" s="17" t="e">
        <f>#REF!</f>
        <v>#REF!</v>
      </c>
      <c r="Q23" s="17" t="e">
        <f>#REF!</f>
        <v>#REF!</v>
      </c>
      <c r="R23" s="17" t="e">
        <f>#REF!</f>
        <v>#REF!</v>
      </c>
    </row>
    <row r="24" spans="1:18" x14ac:dyDescent="0.3">
      <c r="B24" s="6" t="s">
        <v>68</v>
      </c>
      <c r="C24" s="33" t="e">
        <f>D24+NPV(#REF!,'05 Finančná analýza'!E24:R24)</f>
        <v>#REF!</v>
      </c>
      <c r="D24" s="17" t="e">
        <f>'04 Prevádzkové príjmy'!D12</f>
        <v>#REF!</v>
      </c>
      <c r="E24" s="17" t="e">
        <f>'04 Prevádzkové príjmy'!E12</f>
        <v>#REF!</v>
      </c>
      <c r="F24" s="17" t="e">
        <f>'04 Prevádzkové príjmy'!F12</f>
        <v>#REF!</v>
      </c>
      <c r="G24" s="17" t="e">
        <f>'04 Prevádzkové príjmy'!G12</f>
        <v>#REF!</v>
      </c>
      <c r="H24" s="17" t="e">
        <f>'04 Prevádzkové príjmy'!H12</f>
        <v>#REF!</v>
      </c>
      <c r="I24" s="17" t="e">
        <f>'04 Prevádzkové príjmy'!I12</f>
        <v>#REF!</v>
      </c>
      <c r="J24" s="17" t="e">
        <f>'04 Prevádzkové príjmy'!J12</f>
        <v>#REF!</v>
      </c>
      <c r="K24" s="17" t="e">
        <f>'04 Prevádzkové príjmy'!K12</f>
        <v>#REF!</v>
      </c>
      <c r="L24" s="17" t="e">
        <f>'04 Prevádzkové príjmy'!L12</f>
        <v>#REF!</v>
      </c>
      <c r="M24" s="17" t="e">
        <f>'04 Prevádzkové príjmy'!M12</f>
        <v>#REF!</v>
      </c>
      <c r="N24" s="17" t="e">
        <f>'04 Prevádzkové príjmy'!N12</f>
        <v>#REF!</v>
      </c>
      <c r="O24" s="17" t="e">
        <f>'04 Prevádzkové príjmy'!O12</f>
        <v>#REF!</v>
      </c>
      <c r="P24" s="17" t="e">
        <f>'04 Prevádzkové príjmy'!P12</f>
        <v>#REF!</v>
      </c>
      <c r="Q24" s="17" t="e">
        <f>'04 Prevádzkové príjmy'!Q12</f>
        <v>#REF!</v>
      </c>
      <c r="R24" s="17" t="e">
        <f>'04 Prevádzkové príjmy'!R12</f>
        <v>#REF!</v>
      </c>
    </row>
    <row r="25" spans="1:18" x14ac:dyDescent="0.3">
      <c r="B25" s="6" t="s">
        <v>45</v>
      </c>
      <c r="C25" s="33" t="e">
        <f>D25+NPV(#REF!,'05 Finančná analýza'!E25:R25)</f>
        <v>#REF!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34">
        <f>'02 Zostatková hodnota'!G12</f>
        <v>0</v>
      </c>
    </row>
    <row r="26" spans="1:18" x14ac:dyDescent="0.3">
      <c r="B26" s="9" t="s">
        <v>69</v>
      </c>
      <c r="C26" s="26" t="e">
        <f>D26+NPV(#REF!,'05 Finančná analýza'!E26:R26)</f>
        <v>#REF!</v>
      </c>
      <c r="D26" s="20" t="e">
        <f>SUM(D22:D25)</f>
        <v>#REF!</v>
      </c>
      <c r="E26" s="20" t="e">
        <f t="shared" ref="E26:R26" si="3">SUM(E22:E25)</f>
        <v>#REF!</v>
      </c>
      <c r="F26" s="20" t="e">
        <f t="shared" si="3"/>
        <v>#REF!</v>
      </c>
      <c r="G26" s="20" t="e">
        <f t="shared" si="3"/>
        <v>#REF!</v>
      </c>
      <c r="H26" s="20" t="e">
        <f t="shared" si="3"/>
        <v>#REF!</v>
      </c>
      <c r="I26" s="20" t="e">
        <f t="shared" si="3"/>
        <v>#REF!</v>
      </c>
      <c r="J26" s="20" t="e">
        <f t="shared" si="3"/>
        <v>#REF!</v>
      </c>
      <c r="K26" s="20" t="e">
        <f t="shared" si="3"/>
        <v>#REF!</v>
      </c>
      <c r="L26" s="20" t="e">
        <f t="shared" si="3"/>
        <v>#REF!</v>
      </c>
      <c r="M26" s="20" t="e">
        <f t="shared" si="3"/>
        <v>#REF!</v>
      </c>
      <c r="N26" s="20" t="e">
        <f t="shared" si="3"/>
        <v>#REF!</v>
      </c>
      <c r="O26" s="20" t="e">
        <f t="shared" si="3"/>
        <v>#REF!</v>
      </c>
      <c r="P26" s="20" t="e">
        <f t="shared" si="3"/>
        <v>#REF!</v>
      </c>
      <c r="Q26" s="20" t="e">
        <f t="shared" si="3"/>
        <v>#REF!</v>
      </c>
      <c r="R26" s="20" t="e">
        <f t="shared" si="3"/>
        <v>#REF!</v>
      </c>
    </row>
    <row r="28" spans="1:18" x14ac:dyDescent="0.3">
      <c r="B28" s="6" t="s">
        <v>70</v>
      </c>
      <c r="C28" s="35" t="e">
        <f>SUM(C22:C25)</f>
        <v>#REF!</v>
      </c>
      <c r="D28" s="6" t="s">
        <v>71</v>
      </c>
    </row>
    <row r="30" spans="1:18" x14ac:dyDescent="0.3">
      <c r="B30" s="9" t="s">
        <v>51</v>
      </c>
      <c r="C30" s="9"/>
      <c r="D30" s="6" t="s">
        <v>52</v>
      </c>
    </row>
    <row r="31" spans="1:18" x14ac:dyDescent="0.3">
      <c r="B31" s="9"/>
      <c r="C31" s="18" t="s">
        <v>33</v>
      </c>
      <c r="D31" s="27">
        <v>1</v>
      </c>
      <c r="E31" s="27">
        <v>2</v>
      </c>
      <c r="F31" s="27">
        <v>3</v>
      </c>
      <c r="G31" s="27">
        <v>4</v>
      </c>
      <c r="H31" s="27">
        <v>5</v>
      </c>
      <c r="I31" s="27">
        <v>6</v>
      </c>
      <c r="J31" s="27">
        <v>7</v>
      </c>
      <c r="K31" s="27">
        <v>8</v>
      </c>
      <c r="L31" s="27">
        <v>9</v>
      </c>
      <c r="M31" s="27">
        <v>10</v>
      </c>
      <c r="N31" s="27">
        <v>11</v>
      </c>
      <c r="O31" s="27">
        <v>12</v>
      </c>
      <c r="P31" s="27">
        <v>13</v>
      </c>
      <c r="Q31" s="27">
        <v>14</v>
      </c>
      <c r="R31" s="27">
        <v>15</v>
      </c>
    </row>
    <row r="32" spans="1:18" x14ac:dyDescent="0.3">
      <c r="B32" s="23" t="s">
        <v>64</v>
      </c>
      <c r="C32" s="32" t="s">
        <v>65</v>
      </c>
      <c r="D32" s="24">
        <v>2024</v>
      </c>
      <c r="E32" s="24">
        <f t="shared" ref="E32:R32" si="4">$D$21+D31</f>
        <v>2025</v>
      </c>
      <c r="F32" s="24">
        <f t="shared" si="4"/>
        <v>2026</v>
      </c>
      <c r="G32" s="24">
        <f t="shared" si="4"/>
        <v>2027</v>
      </c>
      <c r="H32" s="24">
        <f t="shared" si="4"/>
        <v>2028</v>
      </c>
      <c r="I32" s="24">
        <f t="shared" si="4"/>
        <v>2029</v>
      </c>
      <c r="J32" s="24">
        <f t="shared" si="4"/>
        <v>2030</v>
      </c>
      <c r="K32" s="24">
        <f t="shared" si="4"/>
        <v>2031</v>
      </c>
      <c r="L32" s="24">
        <f t="shared" si="4"/>
        <v>2032</v>
      </c>
      <c r="M32" s="24">
        <f t="shared" si="4"/>
        <v>2033</v>
      </c>
      <c r="N32" s="24">
        <f t="shared" si="4"/>
        <v>2034</v>
      </c>
      <c r="O32" s="24">
        <f t="shared" si="4"/>
        <v>2035</v>
      </c>
      <c r="P32" s="24">
        <f t="shared" si="4"/>
        <v>2036</v>
      </c>
      <c r="Q32" s="24">
        <f t="shared" si="4"/>
        <v>2037</v>
      </c>
      <c r="R32" s="24">
        <f t="shared" si="4"/>
        <v>2038</v>
      </c>
    </row>
    <row r="33" spans="2:18" x14ac:dyDescent="0.3">
      <c r="B33" s="6" t="s">
        <v>66</v>
      </c>
      <c r="C33" s="33" t="e">
        <f>D33+NPV(#REF!,'05 Finančná analýza'!E33:R33)</f>
        <v>#REF!</v>
      </c>
      <c r="D33" s="17">
        <f>-'01 Investičné výdavky'!E23</f>
        <v>0</v>
      </c>
      <c r="E33" s="17">
        <f>-'01 Investičné výdavky'!F23</f>
        <v>0</v>
      </c>
      <c r="F33" s="17">
        <f>-'01 Investičné výdavky'!G23</f>
        <v>0</v>
      </c>
      <c r="G33" s="17">
        <f>-'01 Investičné výdavky'!H23</f>
        <v>0</v>
      </c>
      <c r="H33" s="17">
        <f>-'01 Investičné výdavky'!I23</f>
        <v>0</v>
      </c>
      <c r="I33" s="17">
        <f>-'01 Investičné výdavky'!J23</f>
        <v>0</v>
      </c>
      <c r="J33" s="17">
        <f>-'01 Investičné výdavky'!K23</f>
        <v>0</v>
      </c>
      <c r="K33" s="17">
        <f>-'01 Investičné výdavky'!L23</f>
        <v>0</v>
      </c>
      <c r="L33" s="17">
        <f>-'01 Investičné výdavky'!M23</f>
        <v>0</v>
      </c>
      <c r="M33" s="17">
        <f>-'01 Investičné výdavky'!N23</f>
        <v>0</v>
      </c>
      <c r="N33" s="17">
        <f>-'01 Investičné výdavky'!O23</f>
        <v>0</v>
      </c>
      <c r="O33" s="17">
        <f>-'01 Investičné výdavky'!P23</f>
        <v>0</v>
      </c>
      <c r="P33" s="17">
        <f>-'01 Investičné výdavky'!Q23</f>
        <v>0</v>
      </c>
      <c r="Q33" s="17">
        <f>-'01 Investičné výdavky'!R23</f>
        <v>0</v>
      </c>
      <c r="R33" s="17">
        <f>-'01 Investičné výdavky'!S23</f>
        <v>0</v>
      </c>
    </row>
    <row r="34" spans="2:18" x14ac:dyDescent="0.3">
      <c r="B34" s="6" t="s">
        <v>67</v>
      </c>
      <c r="C34" s="33" t="e">
        <f>D34+NPV(#REF!,'05 Finančná analýza'!E34:R34)</f>
        <v>#REF!</v>
      </c>
      <c r="D34" s="17" t="e">
        <f>#REF!</f>
        <v>#REF!</v>
      </c>
      <c r="E34" s="17" t="e">
        <f>#REF!</f>
        <v>#REF!</v>
      </c>
      <c r="F34" s="17" t="e">
        <f>#REF!</f>
        <v>#REF!</v>
      </c>
      <c r="G34" s="17" t="e">
        <f>#REF!</f>
        <v>#REF!</v>
      </c>
      <c r="H34" s="17" t="e">
        <f>#REF!</f>
        <v>#REF!</v>
      </c>
      <c r="I34" s="17" t="e">
        <f>#REF!</f>
        <v>#REF!</v>
      </c>
      <c r="J34" s="17" t="e">
        <f>#REF!</f>
        <v>#REF!</v>
      </c>
      <c r="K34" s="17" t="e">
        <f>#REF!</f>
        <v>#REF!</v>
      </c>
      <c r="L34" s="17" t="e">
        <f>#REF!</f>
        <v>#REF!</v>
      </c>
      <c r="M34" s="17" t="e">
        <f>#REF!</f>
        <v>#REF!</v>
      </c>
      <c r="N34" s="17" t="e">
        <f>#REF!</f>
        <v>#REF!</v>
      </c>
      <c r="O34" s="17" t="e">
        <f>#REF!</f>
        <v>#REF!</v>
      </c>
      <c r="P34" s="17" t="e">
        <f>#REF!</f>
        <v>#REF!</v>
      </c>
      <c r="Q34" s="17" t="e">
        <f>#REF!</f>
        <v>#REF!</v>
      </c>
      <c r="R34" s="17" t="e">
        <f>#REF!</f>
        <v>#REF!</v>
      </c>
    </row>
    <row r="35" spans="2:18" x14ac:dyDescent="0.3">
      <c r="B35" s="6" t="s">
        <v>68</v>
      </c>
      <c r="C35" s="33" t="e">
        <f>D35+NPV(#REF!,'05 Finančná analýza'!E35:R35)</f>
        <v>#REF!</v>
      </c>
      <c r="D35" s="17" t="e">
        <f>'04 Prevádzkové príjmy'!D18</f>
        <v>#REF!</v>
      </c>
      <c r="E35" s="17" t="e">
        <f>'04 Prevádzkové príjmy'!E18</f>
        <v>#REF!</v>
      </c>
      <c r="F35" s="17" t="e">
        <f>'04 Prevádzkové príjmy'!F18</f>
        <v>#REF!</v>
      </c>
      <c r="G35" s="17" t="e">
        <f>'04 Prevádzkové príjmy'!G18</f>
        <v>#REF!</v>
      </c>
      <c r="H35" s="17" t="e">
        <f>'04 Prevádzkové príjmy'!H18</f>
        <v>#REF!</v>
      </c>
      <c r="I35" s="17" t="e">
        <f>'04 Prevádzkové príjmy'!I18</f>
        <v>#REF!</v>
      </c>
      <c r="J35" s="17" t="e">
        <f>'04 Prevádzkové príjmy'!J18</f>
        <v>#REF!</v>
      </c>
      <c r="K35" s="17" t="e">
        <f>'04 Prevádzkové príjmy'!K18</f>
        <v>#REF!</v>
      </c>
      <c r="L35" s="17" t="e">
        <f>'04 Prevádzkové príjmy'!L18</f>
        <v>#REF!</v>
      </c>
      <c r="M35" s="17" t="e">
        <f>'04 Prevádzkové príjmy'!M18</f>
        <v>#REF!</v>
      </c>
      <c r="N35" s="17" t="e">
        <f>'04 Prevádzkové príjmy'!N18</f>
        <v>#REF!</v>
      </c>
      <c r="O35" s="17" t="e">
        <f>'04 Prevádzkové príjmy'!O18</f>
        <v>#REF!</v>
      </c>
      <c r="P35" s="17" t="e">
        <f>'04 Prevádzkové príjmy'!P18</f>
        <v>#REF!</v>
      </c>
      <c r="Q35" s="17" t="e">
        <f>'04 Prevádzkové príjmy'!Q18</f>
        <v>#REF!</v>
      </c>
      <c r="R35" s="17" t="e">
        <f>'04 Prevádzkové príjmy'!R18</f>
        <v>#REF!</v>
      </c>
    </row>
    <row r="36" spans="2:18" x14ac:dyDescent="0.3">
      <c r="B36" s="6" t="s">
        <v>45</v>
      </c>
      <c r="C36" s="33" t="e">
        <f>D36+NPV(#REF!,'05 Finančná analýza'!E36:R36)</f>
        <v>#REF!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34">
        <f>'02 Zostatková hodnota'!G17</f>
        <v>0</v>
      </c>
    </row>
    <row r="37" spans="2:18" x14ac:dyDescent="0.3">
      <c r="B37" s="9" t="s">
        <v>69</v>
      </c>
      <c r="C37" s="26" t="e">
        <f>D37+NPV(#REF!,'05 Finančná analýza'!E37:R37)</f>
        <v>#REF!</v>
      </c>
      <c r="D37" s="20" t="e">
        <f>SUM(D33:D36)</f>
        <v>#REF!</v>
      </c>
      <c r="E37" s="20" t="e">
        <f t="shared" ref="E37:R37" si="5">SUM(E33:E36)</f>
        <v>#REF!</v>
      </c>
      <c r="F37" s="20" t="e">
        <f t="shared" si="5"/>
        <v>#REF!</v>
      </c>
      <c r="G37" s="20" t="e">
        <f t="shared" si="5"/>
        <v>#REF!</v>
      </c>
      <c r="H37" s="20" t="e">
        <f t="shared" si="5"/>
        <v>#REF!</v>
      </c>
      <c r="I37" s="20" t="e">
        <f t="shared" si="5"/>
        <v>#REF!</v>
      </c>
      <c r="J37" s="20" t="e">
        <f t="shared" si="5"/>
        <v>#REF!</v>
      </c>
      <c r="K37" s="20" t="e">
        <f t="shared" si="5"/>
        <v>#REF!</v>
      </c>
      <c r="L37" s="20" t="e">
        <f t="shared" si="5"/>
        <v>#REF!</v>
      </c>
      <c r="M37" s="20" t="e">
        <f t="shared" si="5"/>
        <v>#REF!</v>
      </c>
      <c r="N37" s="20" t="e">
        <f t="shared" si="5"/>
        <v>#REF!</v>
      </c>
      <c r="O37" s="20" t="e">
        <f t="shared" si="5"/>
        <v>#REF!</v>
      </c>
      <c r="P37" s="20" t="e">
        <f t="shared" si="5"/>
        <v>#REF!</v>
      </c>
      <c r="Q37" s="20" t="e">
        <f t="shared" si="5"/>
        <v>#REF!</v>
      </c>
      <c r="R37" s="20" t="e">
        <f t="shared" si="5"/>
        <v>#REF!</v>
      </c>
    </row>
    <row r="39" spans="2:18" x14ac:dyDescent="0.3">
      <c r="B39" s="6" t="s">
        <v>70</v>
      </c>
      <c r="C39" s="35" t="e">
        <f>SUM(C33:C36)</f>
        <v>#REF!</v>
      </c>
      <c r="D39" s="6" t="s">
        <v>71</v>
      </c>
    </row>
    <row r="41" spans="2:18" x14ac:dyDescent="0.3">
      <c r="B41" s="9" t="s">
        <v>105</v>
      </c>
      <c r="C41" s="9"/>
      <c r="D41" s="6" t="s">
        <v>52</v>
      </c>
    </row>
    <row r="42" spans="2:18" x14ac:dyDescent="0.3">
      <c r="B42" s="9"/>
      <c r="C42" s="18" t="s">
        <v>33</v>
      </c>
      <c r="D42" s="27">
        <v>1</v>
      </c>
      <c r="E42" s="27">
        <v>2</v>
      </c>
      <c r="F42" s="27">
        <v>3</v>
      </c>
      <c r="G42" s="27">
        <v>4</v>
      </c>
      <c r="H42" s="27">
        <v>5</v>
      </c>
      <c r="I42" s="27">
        <v>6</v>
      </c>
      <c r="J42" s="27">
        <v>7</v>
      </c>
      <c r="K42" s="27">
        <v>8</v>
      </c>
      <c r="L42" s="27">
        <v>9</v>
      </c>
      <c r="M42" s="27">
        <v>10</v>
      </c>
      <c r="N42" s="27">
        <v>11</v>
      </c>
      <c r="O42" s="27">
        <v>12</v>
      </c>
      <c r="P42" s="27">
        <v>13</v>
      </c>
      <c r="Q42" s="27">
        <v>14</v>
      </c>
      <c r="R42" s="27">
        <v>15</v>
      </c>
    </row>
    <row r="43" spans="2:18" x14ac:dyDescent="0.3">
      <c r="B43" s="23" t="s">
        <v>64</v>
      </c>
      <c r="C43" s="32" t="s">
        <v>65</v>
      </c>
      <c r="D43" s="24">
        <v>2024</v>
      </c>
      <c r="E43" s="24">
        <f t="shared" ref="E43:R43" si="6">$D$21+D42</f>
        <v>2025</v>
      </c>
      <c r="F43" s="24">
        <f t="shared" si="6"/>
        <v>2026</v>
      </c>
      <c r="G43" s="24">
        <f t="shared" si="6"/>
        <v>2027</v>
      </c>
      <c r="H43" s="24">
        <f t="shared" si="6"/>
        <v>2028</v>
      </c>
      <c r="I43" s="24">
        <f t="shared" si="6"/>
        <v>2029</v>
      </c>
      <c r="J43" s="24">
        <f t="shared" si="6"/>
        <v>2030</v>
      </c>
      <c r="K43" s="24">
        <f t="shared" si="6"/>
        <v>2031</v>
      </c>
      <c r="L43" s="24">
        <f t="shared" si="6"/>
        <v>2032</v>
      </c>
      <c r="M43" s="24">
        <f t="shared" si="6"/>
        <v>2033</v>
      </c>
      <c r="N43" s="24">
        <f t="shared" si="6"/>
        <v>2034</v>
      </c>
      <c r="O43" s="24">
        <f t="shared" si="6"/>
        <v>2035</v>
      </c>
      <c r="P43" s="24">
        <f t="shared" si="6"/>
        <v>2036</v>
      </c>
      <c r="Q43" s="24">
        <f t="shared" si="6"/>
        <v>2037</v>
      </c>
      <c r="R43" s="24">
        <f t="shared" si="6"/>
        <v>2038</v>
      </c>
    </row>
    <row r="44" spans="2:18" x14ac:dyDescent="0.3">
      <c r="B44" s="6" t="s">
        <v>66</v>
      </c>
      <c r="C44" s="33" t="e">
        <f>D44+NPV(#REF!,'05 Finančná analýza'!E44:R44)</f>
        <v>#REF!</v>
      </c>
      <c r="D44" s="17">
        <f>-'01 Investičné výdavky'!E31</f>
        <v>0</v>
      </c>
      <c r="E44" s="17">
        <f>-'01 Investičné výdavky'!F31</f>
        <v>0</v>
      </c>
      <c r="F44" s="17">
        <f>-'01 Investičné výdavky'!G31</f>
        <v>0</v>
      </c>
      <c r="G44" s="17">
        <f>-'01 Investičné výdavky'!H31</f>
        <v>0</v>
      </c>
      <c r="H44" s="17">
        <f>-'01 Investičné výdavky'!I31</f>
        <v>0</v>
      </c>
      <c r="I44" s="17">
        <f>-'01 Investičné výdavky'!J31</f>
        <v>0</v>
      </c>
      <c r="J44" s="17">
        <f>-'01 Investičné výdavky'!K31</f>
        <v>0</v>
      </c>
      <c r="K44" s="17">
        <f>-'01 Investičné výdavky'!L31</f>
        <v>0</v>
      </c>
      <c r="L44" s="17">
        <f>-'01 Investičné výdavky'!M31</f>
        <v>0</v>
      </c>
      <c r="M44" s="17">
        <f>-'01 Investičné výdavky'!N31</f>
        <v>0</v>
      </c>
      <c r="N44" s="17">
        <f>-'01 Investičné výdavky'!O31</f>
        <v>0</v>
      </c>
      <c r="O44" s="17">
        <f>-'01 Investičné výdavky'!P31</f>
        <v>0</v>
      </c>
      <c r="P44" s="17">
        <f>-'01 Investičné výdavky'!Q31</f>
        <v>0</v>
      </c>
      <c r="Q44" s="17">
        <f>-'01 Investičné výdavky'!R31</f>
        <v>0</v>
      </c>
      <c r="R44" s="17">
        <f>-'01 Investičné výdavky'!S31</f>
        <v>0</v>
      </c>
    </row>
    <row r="45" spans="2:18" x14ac:dyDescent="0.3">
      <c r="B45" s="6" t="s">
        <v>67</v>
      </c>
      <c r="C45" s="33" t="e">
        <f>D45+NPV(#REF!,'05 Finančná analýza'!E45:R45)</f>
        <v>#REF!</v>
      </c>
      <c r="D45" s="17" t="e">
        <f>#REF!</f>
        <v>#REF!</v>
      </c>
      <c r="E45" s="17" t="e">
        <f>#REF!</f>
        <v>#REF!</v>
      </c>
      <c r="F45" s="17" t="e">
        <f>#REF!</f>
        <v>#REF!</v>
      </c>
      <c r="G45" s="17" t="e">
        <f>#REF!</f>
        <v>#REF!</v>
      </c>
      <c r="H45" s="17" t="e">
        <f>#REF!</f>
        <v>#REF!</v>
      </c>
      <c r="I45" s="17" t="e">
        <f>#REF!</f>
        <v>#REF!</v>
      </c>
      <c r="J45" s="17" t="e">
        <f>#REF!</f>
        <v>#REF!</v>
      </c>
      <c r="K45" s="17" t="e">
        <f>#REF!</f>
        <v>#REF!</v>
      </c>
      <c r="L45" s="17" t="e">
        <f>#REF!</f>
        <v>#REF!</v>
      </c>
      <c r="M45" s="17" t="e">
        <f>#REF!</f>
        <v>#REF!</v>
      </c>
      <c r="N45" s="17" t="e">
        <f>#REF!</f>
        <v>#REF!</v>
      </c>
      <c r="O45" s="17" t="e">
        <f>#REF!</f>
        <v>#REF!</v>
      </c>
      <c r="P45" s="17" t="e">
        <f>#REF!</f>
        <v>#REF!</v>
      </c>
      <c r="Q45" s="17" t="e">
        <f>#REF!</f>
        <v>#REF!</v>
      </c>
      <c r="R45" s="17" t="e">
        <f>#REF!</f>
        <v>#REF!</v>
      </c>
    </row>
    <row r="46" spans="2:18" x14ac:dyDescent="0.3">
      <c r="B46" s="6" t="s">
        <v>68</v>
      </c>
      <c r="C46" s="33" t="e">
        <f>D46+NPV(#REF!,'05 Finančná analýza'!E46:R46)</f>
        <v>#REF!</v>
      </c>
      <c r="D46" s="17" t="e">
        <f>'04 Prevádzkové príjmy'!D23</f>
        <v>#REF!</v>
      </c>
      <c r="E46" s="17" t="e">
        <f>'04 Prevádzkové príjmy'!E23</f>
        <v>#REF!</v>
      </c>
      <c r="F46" s="17" t="e">
        <f>'04 Prevádzkové príjmy'!F23</f>
        <v>#REF!</v>
      </c>
      <c r="G46" s="17" t="e">
        <f>'04 Prevádzkové príjmy'!G23</f>
        <v>#REF!</v>
      </c>
      <c r="H46" s="17" t="e">
        <f>'04 Prevádzkové príjmy'!H23</f>
        <v>#REF!</v>
      </c>
      <c r="I46" s="17" t="e">
        <f>'04 Prevádzkové príjmy'!I23</f>
        <v>#REF!</v>
      </c>
      <c r="J46" s="17" t="e">
        <f>'04 Prevádzkové príjmy'!J23</f>
        <v>#REF!</v>
      </c>
      <c r="K46" s="17" t="e">
        <f>'04 Prevádzkové príjmy'!K23</f>
        <v>#REF!</v>
      </c>
      <c r="L46" s="17" t="e">
        <f>'04 Prevádzkové príjmy'!L23</f>
        <v>#REF!</v>
      </c>
      <c r="M46" s="17" t="e">
        <f>'04 Prevádzkové príjmy'!M23</f>
        <v>#REF!</v>
      </c>
      <c r="N46" s="17" t="e">
        <f>'04 Prevádzkové príjmy'!N23</f>
        <v>#REF!</v>
      </c>
      <c r="O46" s="17" t="e">
        <f>'04 Prevádzkové príjmy'!O23</f>
        <v>#REF!</v>
      </c>
      <c r="P46" s="17" t="e">
        <f>'04 Prevádzkové príjmy'!P23</f>
        <v>#REF!</v>
      </c>
      <c r="Q46" s="17" t="e">
        <f>'04 Prevádzkové príjmy'!Q23</f>
        <v>#REF!</v>
      </c>
      <c r="R46" s="17" t="e">
        <f>'04 Prevádzkové príjmy'!R23</f>
        <v>#REF!</v>
      </c>
    </row>
    <row r="47" spans="2:18" x14ac:dyDescent="0.3">
      <c r="B47" s="6" t="s">
        <v>45</v>
      </c>
      <c r="C47" s="33" t="e">
        <f>D47+NPV(#REF!,'05 Finančná analýza'!E47:R47)</f>
        <v>#REF!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34">
        <f>'02 Zostatková hodnota'!G22</f>
        <v>0</v>
      </c>
    </row>
    <row r="48" spans="2:18" x14ac:dyDescent="0.3">
      <c r="B48" s="9" t="s">
        <v>69</v>
      </c>
      <c r="C48" s="26" t="e">
        <f>D48+NPV(#REF!,'05 Finančná analýza'!E48:R48)</f>
        <v>#REF!</v>
      </c>
      <c r="D48" s="20" t="e">
        <f>SUM(D44:D47)</f>
        <v>#REF!</v>
      </c>
      <c r="E48" s="20" t="e">
        <f t="shared" ref="E48:R48" si="7">SUM(E44:E47)</f>
        <v>#REF!</v>
      </c>
      <c r="F48" s="20" t="e">
        <f t="shared" si="7"/>
        <v>#REF!</v>
      </c>
      <c r="G48" s="20" t="e">
        <f t="shared" si="7"/>
        <v>#REF!</v>
      </c>
      <c r="H48" s="20" t="e">
        <f t="shared" si="7"/>
        <v>#REF!</v>
      </c>
      <c r="I48" s="20" t="e">
        <f t="shared" si="7"/>
        <v>#REF!</v>
      </c>
      <c r="J48" s="20" t="e">
        <f t="shared" si="7"/>
        <v>#REF!</v>
      </c>
      <c r="K48" s="20" t="e">
        <f t="shared" si="7"/>
        <v>#REF!</v>
      </c>
      <c r="L48" s="20" t="e">
        <f t="shared" si="7"/>
        <v>#REF!</v>
      </c>
      <c r="M48" s="20" t="e">
        <f t="shared" si="7"/>
        <v>#REF!</v>
      </c>
      <c r="N48" s="20" t="e">
        <f t="shared" si="7"/>
        <v>#REF!</v>
      </c>
      <c r="O48" s="20" t="e">
        <f t="shared" si="7"/>
        <v>#REF!</v>
      </c>
      <c r="P48" s="20" t="e">
        <f t="shared" si="7"/>
        <v>#REF!</v>
      </c>
      <c r="Q48" s="20" t="e">
        <f t="shared" si="7"/>
        <v>#REF!</v>
      </c>
      <c r="R48" s="20" t="e">
        <f t="shared" si="7"/>
        <v>#REF!</v>
      </c>
    </row>
    <row r="50" spans="2:18" x14ac:dyDescent="0.3">
      <c r="B50" s="6" t="s">
        <v>70</v>
      </c>
      <c r="C50" s="35" t="e">
        <f>SUM(C44:C47)</f>
        <v>#REF!</v>
      </c>
      <c r="D50" s="6" t="s">
        <v>71</v>
      </c>
    </row>
    <row r="52" spans="2:18" x14ac:dyDescent="0.3">
      <c r="B52" s="9" t="s">
        <v>110</v>
      </c>
      <c r="C52" s="9"/>
      <c r="D52" s="6" t="s">
        <v>52</v>
      </c>
    </row>
    <row r="53" spans="2:18" x14ac:dyDescent="0.3">
      <c r="B53" s="9"/>
      <c r="C53" s="18" t="s">
        <v>33</v>
      </c>
      <c r="D53" s="27">
        <v>1</v>
      </c>
      <c r="E53" s="27">
        <v>2</v>
      </c>
      <c r="F53" s="27">
        <v>3</v>
      </c>
      <c r="G53" s="27">
        <v>4</v>
      </c>
      <c r="H53" s="27">
        <v>5</v>
      </c>
      <c r="I53" s="27">
        <v>6</v>
      </c>
      <c r="J53" s="27">
        <v>7</v>
      </c>
      <c r="K53" s="27">
        <v>8</v>
      </c>
      <c r="L53" s="27">
        <v>9</v>
      </c>
      <c r="M53" s="27">
        <v>10</v>
      </c>
      <c r="N53" s="27">
        <v>11</v>
      </c>
      <c r="O53" s="27">
        <v>12</v>
      </c>
      <c r="P53" s="27">
        <v>13</v>
      </c>
      <c r="Q53" s="27">
        <v>14</v>
      </c>
      <c r="R53" s="27">
        <v>15</v>
      </c>
    </row>
    <row r="54" spans="2:18" x14ac:dyDescent="0.3">
      <c r="B54" s="23" t="s">
        <v>64</v>
      </c>
      <c r="C54" s="32" t="s">
        <v>65</v>
      </c>
      <c r="D54" s="24">
        <v>2024</v>
      </c>
      <c r="E54" s="24">
        <f t="shared" ref="E54:R54" si="8">$D$21+D53</f>
        <v>2025</v>
      </c>
      <c r="F54" s="24">
        <f t="shared" si="8"/>
        <v>2026</v>
      </c>
      <c r="G54" s="24">
        <f t="shared" si="8"/>
        <v>2027</v>
      </c>
      <c r="H54" s="24">
        <f t="shared" si="8"/>
        <v>2028</v>
      </c>
      <c r="I54" s="24">
        <f t="shared" si="8"/>
        <v>2029</v>
      </c>
      <c r="J54" s="24">
        <f t="shared" si="8"/>
        <v>2030</v>
      </c>
      <c r="K54" s="24">
        <f t="shared" si="8"/>
        <v>2031</v>
      </c>
      <c r="L54" s="24">
        <f t="shared" si="8"/>
        <v>2032</v>
      </c>
      <c r="M54" s="24">
        <f t="shared" si="8"/>
        <v>2033</v>
      </c>
      <c r="N54" s="24">
        <f t="shared" si="8"/>
        <v>2034</v>
      </c>
      <c r="O54" s="24">
        <f t="shared" si="8"/>
        <v>2035</v>
      </c>
      <c r="P54" s="24">
        <f t="shared" si="8"/>
        <v>2036</v>
      </c>
      <c r="Q54" s="24">
        <f t="shared" si="8"/>
        <v>2037</v>
      </c>
      <c r="R54" s="24">
        <f t="shared" si="8"/>
        <v>2038</v>
      </c>
    </row>
    <row r="55" spans="2:18" x14ac:dyDescent="0.3">
      <c r="B55" s="6" t="s">
        <v>66</v>
      </c>
      <c r="C55" s="33" t="e">
        <f>D55+NPV(#REF!,'05 Finančná analýza'!E55:R55)</f>
        <v>#REF!</v>
      </c>
      <c r="D55" s="17">
        <f>-'01 Investičné výdavky'!E39</f>
        <v>0</v>
      </c>
      <c r="E55" s="17">
        <f>-'01 Investičné výdavky'!F39</f>
        <v>0</v>
      </c>
      <c r="F55" s="17">
        <f>-'01 Investičné výdavky'!G39</f>
        <v>0</v>
      </c>
      <c r="G55" s="17">
        <f>-'01 Investičné výdavky'!H39</f>
        <v>0</v>
      </c>
      <c r="H55" s="17">
        <f>-'01 Investičné výdavky'!I39</f>
        <v>0</v>
      </c>
      <c r="I55" s="17">
        <f>-'01 Investičné výdavky'!J39</f>
        <v>0</v>
      </c>
      <c r="J55" s="17">
        <f>-'01 Investičné výdavky'!K39</f>
        <v>0</v>
      </c>
      <c r="K55" s="17">
        <f>-'01 Investičné výdavky'!L39</f>
        <v>0</v>
      </c>
      <c r="L55" s="17">
        <f>-'01 Investičné výdavky'!M39</f>
        <v>0</v>
      </c>
      <c r="M55" s="17">
        <f>-'01 Investičné výdavky'!N39</f>
        <v>0</v>
      </c>
      <c r="N55" s="17">
        <f>-'01 Investičné výdavky'!O39</f>
        <v>0</v>
      </c>
      <c r="O55" s="17">
        <f>-'01 Investičné výdavky'!P39</f>
        <v>0</v>
      </c>
      <c r="P55" s="17">
        <f>-'01 Investičné výdavky'!Q39</f>
        <v>0</v>
      </c>
      <c r="Q55" s="17">
        <f>-'01 Investičné výdavky'!R39</f>
        <v>0</v>
      </c>
      <c r="R55" s="17">
        <f>-'01 Investičné výdavky'!S39</f>
        <v>0</v>
      </c>
    </row>
    <row r="56" spans="2:18" x14ac:dyDescent="0.3">
      <c r="B56" s="6" t="s">
        <v>67</v>
      </c>
      <c r="C56" s="33" t="e">
        <f>D56+NPV(#REF!,'05 Finančná analýza'!E56:R56)</f>
        <v>#REF!</v>
      </c>
      <c r="D56" s="17" t="e">
        <f>#REF!</f>
        <v>#REF!</v>
      </c>
      <c r="E56" s="17" t="e">
        <f>#REF!</f>
        <v>#REF!</v>
      </c>
      <c r="F56" s="17" t="e">
        <f>#REF!</f>
        <v>#REF!</v>
      </c>
      <c r="G56" s="17" t="e">
        <f>#REF!</f>
        <v>#REF!</v>
      </c>
      <c r="H56" s="17" t="e">
        <f>#REF!</f>
        <v>#REF!</v>
      </c>
      <c r="I56" s="17" t="e">
        <f>#REF!</f>
        <v>#REF!</v>
      </c>
      <c r="J56" s="17" t="e">
        <f>#REF!</f>
        <v>#REF!</v>
      </c>
      <c r="K56" s="17" t="e">
        <f>#REF!</f>
        <v>#REF!</v>
      </c>
      <c r="L56" s="17" t="e">
        <f>#REF!</f>
        <v>#REF!</v>
      </c>
      <c r="M56" s="17" t="e">
        <f>#REF!</f>
        <v>#REF!</v>
      </c>
      <c r="N56" s="17" t="e">
        <f>#REF!</f>
        <v>#REF!</v>
      </c>
      <c r="O56" s="17" t="e">
        <f>#REF!</f>
        <v>#REF!</v>
      </c>
      <c r="P56" s="17" t="e">
        <f>#REF!</f>
        <v>#REF!</v>
      </c>
      <c r="Q56" s="17" t="e">
        <f>#REF!</f>
        <v>#REF!</v>
      </c>
      <c r="R56" s="17" t="e">
        <f>#REF!</f>
        <v>#REF!</v>
      </c>
    </row>
    <row r="57" spans="2:18" x14ac:dyDescent="0.3">
      <c r="B57" s="6" t="s">
        <v>68</v>
      </c>
      <c r="C57" s="33" t="e">
        <f>D57+NPV(#REF!,'05 Finančná analýza'!E57:R57)</f>
        <v>#REF!</v>
      </c>
      <c r="D57" s="17" t="e">
        <f>'04 Prevádzkové príjmy'!D30</f>
        <v>#REF!</v>
      </c>
      <c r="E57" s="17" t="e">
        <f>'04 Prevádzkové príjmy'!E30</f>
        <v>#REF!</v>
      </c>
      <c r="F57" s="17" t="e">
        <f>'04 Prevádzkové príjmy'!F30</f>
        <v>#REF!</v>
      </c>
      <c r="G57" s="17" t="e">
        <f>'04 Prevádzkové príjmy'!G30</f>
        <v>#REF!</v>
      </c>
      <c r="H57" s="17" t="e">
        <f>'04 Prevádzkové príjmy'!H30</f>
        <v>#REF!</v>
      </c>
      <c r="I57" s="17" t="e">
        <f>'04 Prevádzkové príjmy'!I30</f>
        <v>#REF!</v>
      </c>
      <c r="J57" s="17" t="e">
        <f>'04 Prevádzkové príjmy'!J30</f>
        <v>#REF!</v>
      </c>
      <c r="K57" s="17" t="e">
        <f>'04 Prevádzkové príjmy'!K30</f>
        <v>#REF!</v>
      </c>
      <c r="L57" s="17" t="e">
        <f>'04 Prevádzkové príjmy'!L30</f>
        <v>#REF!</v>
      </c>
      <c r="M57" s="17" t="e">
        <f>'04 Prevádzkové príjmy'!M30</f>
        <v>#REF!</v>
      </c>
      <c r="N57" s="17" t="e">
        <f>'04 Prevádzkové príjmy'!N30</f>
        <v>#REF!</v>
      </c>
      <c r="O57" s="17" t="e">
        <f>'04 Prevádzkové príjmy'!O30</f>
        <v>#REF!</v>
      </c>
      <c r="P57" s="17" t="e">
        <f>'04 Prevádzkové príjmy'!P30</f>
        <v>#REF!</v>
      </c>
      <c r="Q57" s="17" t="e">
        <f>'04 Prevádzkové príjmy'!Q30</f>
        <v>#REF!</v>
      </c>
      <c r="R57" s="17" t="e">
        <f>'04 Prevádzkové príjmy'!R30</f>
        <v>#REF!</v>
      </c>
    </row>
    <row r="58" spans="2:18" x14ac:dyDescent="0.3">
      <c r="B58" s="6" t="s">
        <v>45</v>
      </c>
      <c r="C58" s="33" t="e">
        <f>D58+NPV(#REF!,'05 Finančná analýza'!E58:R58)</f>
        <v>#REF!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34">
        <f>'02 Zostatková hodnota'!G27</f>
        <v>0</v>
      </c>
    </row>
    <row r="59" spans="2:18" x14ac:dyDescent="0.3">
      <c r="B59" s="9" t="s">
        <v>69</v>
      </c>
      <c r="C59" s="26" t="e">
        <f>D59+NPV(#REF!,'05 Finančná analýza'!E59:R59)</f>
        <v>#REF!</v>
      </c>
      <c r="D59" s="20" t="e">
        <f>SUM(D55:D58)</f>
        <v>#REF!</v>
      </c>
      <c r="E59" s="20" t="e">
        <f t="shared" ref="E59:R59" si="9">SUM(E55:E58)</f>
        <v>#REF!</v>
      </c>
      <c r="F59" s="20" t="e">
        <f t="shared" si="9"/>
        <v>#REF!</v>
      </c>
      <c r="G59" s="20" t="e">
        <f t="shared" si="9"/>
        <v>#REF!</v>
      </c>
      <c r="H59" s="20" t="e">
        <f t="shared" si="9"/>
        <v>#REF!</v>
      </c>
      <c r="I59" s="20" t="e">
        <f t="shared" si="9"/>
        <v>#REF!</v>
      </c>
      <c r="J59" s="20" t="e">
        <f t="shared" si="9"/>
        <v>#REF!</v>
      </c>
      <c r="K59" s="20" t="e">
        <f t="shared" si="9"/>
        <v>#REF!</v>
      </c>
      <c r="L59" s="20" t="e">
        <f t="shared" si="9"/>
        <v>#REF!</v>
      </c>
      <c r="M59" s="20" t="e">
        <f t="shared" si="9"/>
        <v>#REF!</v>
      </c>
      <c r="N59" s="20" t="e">
        <f t="shared" si="9"/>
        <v>#REF!</v>
      </c>
      <c r="O59" s="20" t="e">
        <f t="shared" si="9"/>
        <v>#REF!</v>
      </c>
      <c r="P59" s="20" t="e">
        <f t="shared" si="9"/>
        <v>#REF!</v>
      </c>
      <c r="Q59" s="20" t="e">
        <f t="shared" si="9"/>
        <v>#REF!</v>
      </c>
      <c r="R59" s="20" t="e">
        <f t="shared" si="9"/>
        <v>#REF!</v>
      </c>
    </row>
    <row r="61" spans="2:18" x14ac:dyDescent="0.3">
      <c r="B61" s="6" t="s">
        <v>70</v>
      </c>
      <c r="C61" s="35" t="e">
        <f>SUM(C55:C58)</f>
        <v>#REF!</v>
      </c>
      <c r="D61" s="6" t="s">
        <v>71</v>
      </c>
    </row>
  </sheetData>
  <pageMargins left="0.24791666666666667" right="0.1953125" top="1" bottom="1" header="0.5" footer="0.5"/>
  <pageSetup scale="62" orientation="landscape" r:id="rId1"/>
  <headerFooter alignWithMargins="0">
    <oddHeader>&amp;LPríloha 7: Štandardné tabuľky - Cesty
&amp;"Arial,Tučné"&amp;12 06 Finančná analýza</oddHeader>
    <oddFooter>Strana &amp;P z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FE68B07B5FE549921DDFD1E7E73C03" ma:contentTypeVersion="11" ma:contentTypeDescription="Create a new document." ma:contentTypeScope="" ma:versionID="b9ebd94d9c0846cd822d289a7c31b360">
  <xsd:schema xmlns:xsd="http://www.w3.org/2001/XMLSchema" xmlns:xs="http://www.w3.org/2001/XMLSchema" xmlns:p="http://schemas.microsoft.com/office/2006/metadata/properties" xmlns:ns3="244085aa-6ef5-4f04-833d-09b903e0819d" targetNamespace="http://schemas.microsoft.com/office/2006/metadata/properties" ma:root="true" ma:fieldsID="fcf391871ba409f54bbc00aa6d4e6cce" ns3:_="">
    <xsd:import namespace="244085aa-6ef5-4f04-833d-09b903e0819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085aa-6ef5-4f04-833d-09b903e0819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4085aa-6ef5-4f04-833d-09b903e0819d" xsi:nil="true"/>
  </documentManagement>
</p:properties>
</file>

<file path=customXml/itemProps1.xml><?xml version="1.0" encoding="utf-8"?>
<ds:datastoreItem xmlns:ds="http://schemas.openxmlformats.org/officeDocument/2006/customXml" ds:itemID="{19B665B3-C2A0-427F-A40F-75D98E2E25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4085aa-6ef5-4f04-833d-09b903e081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A8CEBE-4A61-45FF-BC58-C37E499F6F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A3D731-D98A-4593-AD5E-1786B5FBFCF8}">
  <ds:schemaRefs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44085aa-6ef5-4f04-833d-09b903e0819d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9e767a3e-36d8-4341-a9b3-8a01d66037db}" enabled="1" method="Privileged" siteId="{0159e9d0-09a0-4edf-96ba-a3deea363c2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11</vt:i4>
      </vt:variant>
    </vt:vector>
  </HeadingPairs>
  <TitlesOfParts>
    <vt:vector size="11" baseType="lpstr">
      <vt:lpstr>Status po prestahovaní</vt:lpstr>
      <vt:lpstr>MZ SR + VšZP Prev. výd. bez pre</vt:lpstr>
      <vt:lpstr>MZ SR + VšZP Prev. výd. s preda</vt:lpstr>
      <vt:lpstr>Alternatívy</vt:lpstr>
      <vt:lpstr>Fit out contribution</vt:lpstr>
      <vt:lpstr>01 Investičné výdavky</vt:lpstr>
      <vt:lpstr>02 Zostatková hodnota</vt:lpstr>
      <vt:lpstr>04 Prevádzkové príjmy</vt:lpstr>
      <vt:lpstr>05 Finančná analýza</vt:lpstr>
      <vt:lpstr>Vstupy emisie</vt:lpstr>
      <vt:lpstr>07 Ekonomická analýza</vt:lpstr>
    </vt:vector>
  </TitlesOfParts>
  <Manager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Vestenická Miroslava</dc:creator>
  <cp:keywords/>
  <dc:description/>
  <cp:lastModifiedBy>Mézes Dávid</cp:lastModifiedBy>
  <cp:revision/>
  <cp:lastPrinted>2023-12-18T12:31:34Z</cp:lastPrinted>
  <dcterms:created xsi:type="dcterms:W3CDTF">2022-12-10T11:41:46Z</dcterms:created>
  <dcterms:modified xsi:type="dcterms:W3CDTF">2025-06-16T16:13:08Z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0x010100A2FE68B07B5FE549921DDFD1E7E73C03</vt:lpwstr>
  </property>
  <property fmtid="{D5CDD505-2E9C-101B-9397-08002B2CF9AE}" pid="3" name="MediaServiceImageTags">
    <vt:lpwstr/>
  </property>
</Properties>
</file>